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991" documentId="8_{5F1C906B-86C9-40AF-B0EA-085B30D23EA3}" xr6:coauthVersionLast="47" xr6:coauthVersionMax="47" xr10:uidLastSave="{F6C6F5FD-E51B-42D9-BBE6-6BD5505F5521}"/>
  <bookViews>
    <workbookView xWindow="-120" yWindow="-120" windowWidth="29040" windowHeight="17640" tabRatio="979" firstSheet="1" activeTab="7" xr2:uid="{AAC398A2-E95D-4231-A920-55B8B1C73F3F}"/>
  </bookViews>
  <sheets>
    <sheet name="Overview" sheetId="26" r:id="rId1"/>
    <sheet name="Consolidated Budget" sheetId="30" r:id="rId2"/>
    <sheet name="Grant Management" sheetId="37" r:id="rId3"/>
    <sheet name="Measure 1 Budget" sheetId="16" r:id="rId4"/>
    <sheet name="Measure 2 Budget" sheetId="27" r:id="rId5"/>
    <sheet name="Measure 3 Budget" sheetId="28" r:id="rId6"/>
    <sheet name="Measure 4 Budget" sheetId="40" r:id="rId7"/>
    <sheet name="Measure 5 Budget" sheetId="29" r:id="rId8"/>
    <sheet name="Measure 6 Budget" sheetId="31" r:id="rId9"/>
    <sheet name="Measure 7 Budget" sheetId="35" r:id="rId10"/>
  </sheets>
  <definedNames>
    <definedName name="_xlnm._FilterDatabase" localSheetId="1" hidden="1">'Consolidated Budget'!#REF!</definedName>
    <definedName name="_xlnm._FilterDatabase" localSheetId="3" hidden="1">'Measure 1 Budget'!#REF!</definedName>
    <definedName name="_xlnm._FilterDatabase" localSheetId="4" hidden="1">'Measure 2 Budget'!#REF!</definedName>
    <definedName name="_xlnm._FilterDatabase" localSheetId="5" hidden="1">'Measure 3 Budget'!#REF!</definedName>
    <definedName name="_xlnm._FilterDatabase" localSheetId="6" hidden="1">'Measure 4 Budget'!#REF!</definedName>
    <definedName name="_xlnm._FilterDatabase" localSheetId="7" hidden="1">'Measure 5 Budget'!#REF!</definedName>
    <definedName name="_xlnm._FilterDatabase" localSheetId="8" hidden="1">'Measure 6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37" l="1"/>
  <c r="D13" i="37"/>
  <c r="E13" i="37" s="1"/>
  <c r="F13" i="37" s="1"/>
  <c r="G13" i="37" s="1"/>
  <c r="H13" i="37" s="1"/>
  <c r="D12" i="37"/>
  <c r="J9" i="37" l="1"/>
  <c r="H14" i="37"/>
  <c r="J13" i="37"/>
  <c r="J25" i="40" l="1"/>
  <c r="J42" i="28"/>
  <c r="J40" i="29"/>
  <c r="D28" i="30" s="1"/>
  <c r="J32" i="29"/>
  <c r="D10" i="29"/>
  <c r="E10" i="29" s="1"/>
  <c r="F10" i="29" s="1"/>
  <c r="G10" i="29" s="1"/>
  <c r="H10" i="29" s="1"/>
  <c r="H24" i="29"/>
  <c r="G24" i="29"/>
  <c r="G25" i="29" s="1"/>
  <c r="D9" i="29"/>
  <c r="J28" i="40"/>
  <c r="E41" i="40"/>
  <c r="F41" i="40"/>
  <c r="G41" i="40"/>
  <c r="D41" i="40"/>
  <c r="E35" i="40"/>
  <c r="F35" i="40"/>
  <c r="G35" i="40"/>
  <c r="D35" i="40"/>
  <c r="J34" i="40"/>
  <c r="E30" i="29"/>
  <c r="F30" i="29"/>
  <c r="G30" i="29"/>
  <c r="H30" i="29"/>
  <c r="D30" i="29"/>
  <c r="E33" i="29"/>
  <c r="F33" i="29"/>
  <c r="G33" i="29"/>
  <c r="H33" i="29"/>
  <c r="D33" i="29"/>
  <c r="J39" i="28"/>
  <c r="J34" i="16"/>
  <c r="J27" i="35"/>
  <c r="E27" i="35"/>
  <c r="F27" i="35"/>
  <c r="G27" i="35"/>
  <c r="H27" i="35"/>
  <c r="D27" i="35"/>
  <c r="J24" i="35"/>
  <c r="E24" i="35"/>
  <c r="F24" i="35"/>
  <c r="G24" i="35"/>
  <c r="H24" i="35"/>
  <c r="D24" i="35"/>
  <c r="J27" i="31"/>
  <c r="E27" i="31"/>
  <c r="F27" i="31"/>
  <c r="G27" i="31"/>
  <c r="H27" i="31"/>
  <c r="D27" i="31"/>
  <c r="J24" i="31"/>
  <c r="E24" i="31"/>
  <c r="F24" i="31"/>
  <c r="G24" i="31"/>
  <c r="H24" i="31"/>
  <c r="D24" i="31"/>
  <c r="J29" i="27"/>
  <c r="E29" i="27"/>
  <c r="F29" i="27"/>
  <c r="G29" i="27"/>
  <c r="H29" i="27"/>
  <c r="D29" i="27"/>
  <c r="J26" i="27"/>
  <c r="E26" i="27"/>
  <c r="F26" i="27"/>
  <c r="G26" i="27"/>
  <c r="H26" i="27"/>
  <c r="D26" i="27"/>
  <c r="E26" i="40"/>
  <c r="F26" i="40"/>
  <c r="G26" i="40"/>
  <c r="D26" i="40"/>
  <c r="E25" i="29"/>
  <c r="F25" i="29"/>
  <c r="H25" i="29"/>
  <c r="D25" i="29"/>
  <c r="E22" i="29"/>
  <c r="F22" i="29"/>
  <c r="G22" i="29"/>
  <c r="H22" i="29"/>
  <c r="I22" i="29"/>
  <c r="D22" i="29"/>
  <c r="J32" i="40"/>
  <c r="J33" i="40"/>
  <c r="E29" i="40"/>
  <c r="F29" i="40"/>
  <c r="G29" i="40"/>
  <c r="H29" i="40"/>
  <c r="I29" i="40"/>
  <c r="D29" i="40"/>
  <c r="J23" i="40"/>
  <c r="J24" i="40"/>
  <c r="J22" i="40"/>
  <c r="H11" i="40"/>
  <c r="H38" i="40" s="1"/>
  <c r="J9" i="40"/>
  <c r="J10" i="40"/>
  <c r="J8" i="40"/>
  <c r="E11" i="40"/>
  <c r="E13" i="40" s="1"/>
  <c r="F11" i="40"/>
  <c r="F13" i="40" s="1"/>
  <c r="G11" i="40"/>
  <c r="G38" i="40" s="1"/>
  <c r="I11" i="40"/>
  <c r="I13" i="40" s="1"/>
  <c r="D11" i="40"/>
  <c r="D13" i="40" s="1"/>
  <c r="H10" i="16"/>
  <c r="J10" i="16" s="1"/>
  <c r="J9" i="16"/>
  <c r="J11" i="16"/>
  <c r="J12" i="16"/>
  <c r="J8" i="16"/>
  <c r="E13" i="16"/>
  <c r="E37" i="16" s="1"/>
  <c r="F13" i="16"/>
  <c r="F37" i="16" s="1"/>
  <c r="G13" i="16"/>
  <c r="G15" i="16" s="1"/>
  <c r="G16" i="16" s="1"/>
  <c r="I13" i="16"/>
  <c r="D13" i="16"/>
  <c r="E33" i="16"/>
  <c r="F33" i="16"/>
  <c r="G33" i="16"/>
  <c r="H33" i="16"/>
  <c r="D33" i="16"/>
  <c r="J33" i="16" s="1"/>
  <c r="E29" i="16"/>
  <c r="F29" i="16"/>
  <c r="G29" i="16"/>
  <c r="H29" i="16"/>
  <c r="I29" i="16"/>
  <c r="J29" i="16"/>
  <c r="D29" i="16"/>
  <c r="G32" i="16"/>
  <c r="J32" i="16" s="1"/>
  <c r="J31" i="16"/>
  <c r="I37" i="16"/>
  <c r="I16" i="16"/>
  <c r="E15" i="16"/>
  <c r="E16" i="16" s="1"/>
  <c r="F15" i="16"/>
  <c r="F16" i="16" s="1"/>
  <c r="I15" i="16"/>
  <c r="D10" i="16"/>
  <c r="E10" i="16" s="1"/>
  <c r="D9" i="16"/>
  <c r="J28" i="16"/>
  <c r="J27" i="16"/>
  <c r="H26" i="40" l="1"/>
  <c r="J26" i="40" s="1"/>
  <c r="J35" i="40" s="1"/>
  <c r="J41" i="40" s="1"/>
  <c r="H35" i="40"/>
  <c r="H41" i="40" s="1"/>
  <c r="J10" i="29"/>
  <c r="J30" i="29"/>
  <c r="F38" i="40"/>
  <c r="J29" i="40"/>
  <c r="E38" i="40"/>
  <c r="D38" i="40"/>
  <c r="J38" i="40" s="1"/>
  <c r="H13" i="40"/>
  <c r="J11" i="40"/>
  <c r="G13" i="40"/>
  <c r="J13" i="40" s="1"/>
  <c r="J33" i="29"/>
  <c r="H13" i="16"/>
  <c r="H37" i="16" s="1"/>
  <c r="G37" i="16"/>
  <c r="F10" i="16"/>
  <c r="D15" i="16"/>
  <c r="D16" i="16" s="1"/>
  <c r="D11" i="37"/>
  <c r="D14" i="37" s="1"/>
  <c r="I16" i="37"/>
  <c r="E11" i="37"/>
  <c r="E34" i="40"/>
  <c r="F34" i="40"/>
  <c r="G34" i="40"/>
  <c r="H34" i="40"/>
  <c r="D34" i="40"/>
  <c r="J20" i="28"/>
  <c r="J9" i="28"/>
  <c r="J10" i="28"/>
  <c r="J11" i="28"/>
  <c r="J12" i="28"/>
  <c r="J13" i="28"/>
  <c r="J14" i="28"/>
  <c r="J15" i="28"/>
  <c r="J16" i="28"/>
  <c r="J17" i="28"/>
  <c r="J18" i="28"/>
  <c r="J19" i="28"/>
  <c r="J8" i="28"/>
  <c r="E20" i="28"/>
  <c r="F20" i="28"/>
  <c r="G20" i="28"/>
  <c r="H20" i="28"/>
  <c r="D20" i="28"/>
  <c r="J21" i="37"/>
  <c r="J20" i="37"/>
  <c r="F11" i="37" l="1"/>
  <c r="E14" i="37"/>
  <c r="H15" i="16"/>
  <c r="H16" i="16" s="1"/>
  <c r="J13" i="16"/>
  <c r="J37" i="16" s="1"/>
  <c r="G10" i="16"/>
  <c r="D29" i="30"/>
  <c r="D38" i="28"/>
  <c r="H37" i="28"/>
  <c r="H38" i="28" s="1"/>
  <c r="G37" i="28"/>
  <c r="G38" i="28" s="1"/>
  <c r="F37" i="28"/>
  <c r="F38" i="28" s="1"/>
  <c r="E37" i="28"/>
  <c r="E38" i="28" s="1"/>
  <c r="F35" i="28"/>
  <c r="E35" i="28"/>
  <c r="D35" i="28"/>
  <c r="J35" i="28"/>
  <c r="H34" i="28"/>
  <c r="H35" i="28" s="1"/>
  <c r="G34" i="28"/>
  <c r="G35" i="28" s="1"/>
  <c r="H32" i="28"/>
  <c r="G32" i="28"/>
  <c r="F32" i="28"/>
  <c r="E32" i="28"/>
  <c r="D32" i="28"/>
  <c r="J31" i="28"/>
  <c r="H29" i="28"/>
  <c r="G29" i="28"/>
  <c r="F29" i="28"/>
  <c r="E29" i="28"/>
  <c r="D29" i="28"/>
  <c r="J28" i="28"/>
  <c r="J29" i="28" s="1"/>
  <c r="H26" i="28"/>
  <c r="G26" i="28"/>
  <c r="F26" i="28"/>
  <c r="E26" i="28"/>
  <c r="D26" i="28"/>
  <c r="J25" i="28"/>
  <c r="J26" i="28" s="1"/>
  <c r="H42" i="28"/>
  <c r="H43" i="28" s="1"/>
  <c r="G22" i="28"/>
  <c r="G23" i="28" s="1"/>
  <c r="F22" i="28"/>
  <c r="F23" i="28" s="1"/>
  <c r="E42" i="28"/>
  <c r="E43" i="28" s="1"/>
  <c r="D42" i="28"/>
  <c r="G11" i="37" l="1"/>
  <c r="J15" i="16"/>
  <c r="J16" i="16" s="1"/>
  <c r="E40" i="37"/>
  <c r="E16" i="37"/>
  <c r="J32" i="28"/>
  <c r="J38" i="28"/>
  <c r="E22" i="28"/>
  <c r="E23" i="28" s="1"/>
  <c r="E39" i="28" s="1"/>
  <c r="E45" i="28" s="1"/>
  <c r="H22" i="28"/>
  <c r="H23" i="28" s="1"/>
  <c r="H39" i="28" s="1"/>
  <c r="H45" i="28" s="1"/>
  <c r="F39" i="28"/>
  <c r="D43" i="28"/>
  <c r="G39" i="28"/>
  <c r="F42" i="28"/>
  <c r="F43" i="28" s="1"/>
  <c r="G42" i="28"/>
  <c r="G43" i="28" s="1"/>
  <c r="D22" i="28"/>
  <c r="J11" i="37" l="1"/>
  <c r="G45" i="28"/>
  <c r="D23" i="28"/>
  <c r="D39" i="28" s="1"/>
  <c r="J22" i="28"/>
  <c r="J23" i="28" s="1"/>
  <c r="F45" i="28"/>
  <c r="J43" i="28"/>
  <c r="D45" i="28" l="1"/>
  <c r="J45" i="28"/>
  <c r="D26" i="30" s="1"/>
  <c r="H40" i="37" l="1"/>
  <c r="H16" i="37"/>
  <c r="J39" i="40"/>
  <c r="E17" i="40"/>
  <c r="F17" i="40"/>
  <c r="G17" i="40"/>
  <c r="H17" i="40"/>
  <c r="I17" i="40"/>
  <c r="J17" i="40"/>
  <c r="D17" i="40"/>
  <c r="E14" i="40"/>
  <c r="F14" i="40"/>
  <c r="G14" i="40"/>
  <c r="I14" i="40"/>
  <c r="D14" i="40"/>
  <c r="J14" i="40" s="1"/>
  <c r="H39" i="40"/>
  <c r="G39" i="40"/>
  <c r="F39" i="40"/>
  <c r="E39" i="40"/>
  <c r="D39" i="40"/>
  <c r="H20" i="40"/>
  <c r="G20" i="40"/>
  <c r="F20" i="40"/>
  <c r="E20" i="40"/>
  <c r="D20" i="40"/>
  <c r="J19" i="40"/>
  <c r="H14" i="40"/>
  <c r="I30" i="27"/>
  <c r="E30" i="27"/>
  <c r="D30" i="27"/>
  <c r="D36" i="27" s="1"/>
  <c r="F30" i="27"/>
  <c r="G30" i="27"/>
  <c r="H30" i="27"/>
  <c r="E32" i="35"/>
  <c r="F32" i="35"/>
  <c r="G32" i="35"/>
  <c r="H32" i="35"/>
  <c r="J32" i="35"/>
  <c r="D32" i="35"/>
  <c r="E15" i="35"/>
  <c r="F15" i="35"/>
  <c r="G15" i="35"/>
  <c r="H15" i="35"/>
  <c r="J15" i="35"/>
  <c r="D15" i="35"/>
  <c r="E12" i="35"/>
  <c r="F12" i="35"/>
  <c r="G12" i="35"/>
  <c r="H12" i="35"/>
  <c r="J12" i="35"/>
  <c r="D12" i="35"/>
  <c r="E9" i="35"/>
  <c r="E28" i="35" s="1"/>
  <c r="E34" i="35" s="1"/>
  <c r="F9" i="35"/>
  <c r="F28" i="35" s="1"/>
  <c r="F34" i="35" s="1"/>
  <c r="G9" i="35"/>
  <c r="H9" i="35"/>
  <c r="J9" i="35"/>
  <c r="D9" i="35"/>
  <c r="E28" i="31"/>
  <c r="F28" i="31"/>
  <c r="H28" i="31"/>
  <c r="D28" i="31"/>
  <c r="J26" i="31"/>
  <c r="J29" i="29"/>
  <c r="J28" i="29"/>
  <c r="J27" i="29"/>
  <c r="J24" i="29"/>
  <c r="J21" i="29"/>
  <c r="J20" i="29"/>
  <c r="H17" i="29"/>
  <c r="H18" i="29" s="1"/>
  <c r="G17" i="29"/>
  <c r="G18" i="29" s="1"/>
  <c r="F17" i="29"/>
  <c r="F18" i="29" s="1"/>
  <c r="E17" i="29"/>
  <c r="E18" i="29" s="1"/>
  <c r="D17" i="29"/>
  <c r="D8" i="29"/>
  <c r="D11" i="29" s="1"/>
  <c r="D13" i="29" l="1"/>
  <c r="G28" i="35"/>
  <c r="G34" i="35" s="1"/>
  <c r="J28" i="35"/>
  <c r="J34" i="35" s="1"/>
  <c r="D30" i="30" s="1"/>
  <c r="H28" i="35"/>
  <c r="H34" i="35" s="1"/>
  <c r="G28" i="31"/>
  <c r="J22" i="29"/>
  <c r="J17" i="29"/>
  <c r="E8" i="29"/>
  <c r="F8" i="29" s="1"/>
  <c r="D18" i="29"/>
  <c r="J18" i="29" s="1"/>
  <c r="E9" i="29"/>
  <c r="D28" i="35"/>
  <c r="D34" i="35" s="1"/>
  <c r="J20" i="40"/>
  <c r="J28" i="31"/>
  <c r="F9" i="29" l="1"/>
  <c r="E11" i="29"/>
  <c r="D14" i="29"/>
  <c r="D37" i="29"/>
  <c r="D27" i="30"/>
  <c r="G8" i="29"/>
  <c r="E13" i="29" l="1"/>
  <c r="E14" i="29" s="1"/>
  <c r="G9" i="29"/>
  <c r="F11" i="29"/>
  <c r="F13" i="29" s="1"/>
  <c r="F14" i="29" s="1"/>
  <c r="E37" i="29"/>
  <c r="E38" i="29" s="1"/>
  <c r="D38" i="29"/>
  <c r="H8" i="29"/>
  <c r="F37" i="29" l="1"/>
  <c r="F38" i="29" s="1"/>
  <c r="H9" i="29"/>
  <c r="H11" i="29" s="1"/>
  <c r="H13" i="29" s="1"/>
  <c r="H14" i="29" s="1"/>
  <c r="G11" i="29"/>
  <c r="J11" i="29" s="1"/>
  <c r="J8" i="29"/>
  <c r="J9" i="29" l="1"/>
  <c r="H37" i="29"/>
  <c r="H38" i="29" s="1"/>
  <c r="G13" i="29"/>
  <c r="G14" i="29" s="1"/>
  <c r="G37" i="29"/>
  <c r="J13" i="29" l="1"/>
  <c r="J14" i="29" s="1"/>
  <c r="G38" i="29"/>
  <c r="J38" i="29" s="1"/>
  <c r="J37" i="29"/>
  <c r="J28" i="27"/>
  <c r="J30" i="27" s="1"/>
  <c r="J36" i="27" s="1"/>
  <c r="D25" i="30" s="1"/>
  <c r="I34" i="16"/>
  <c r="D8" i="16"/>
  <c r="E8" i="16" s="1"/>
  <c r="F8" i="16" s="1"/>
  <c r="G8" i="16" s="1"/>
  <c r="H8" i="16" s="1"/>
  <c r="E9" i="16"/>
  <c r="F9" i="16" l="1"/>
  <c r="E7" i="30" l="1"/>
  <c r="G9" i="16"/>
  <c r="F12" i="37"/>
  <c r="G12" i="37" l="1"/>
  <c r="G14" i="37" s="1"/>
  <c r="F14" i="37"/>
  <c r="J12" i="37"/>
  <c r="H9" i="16"/>
  <c r="H25" i="16"/>
  <c r="G25" i="16"/>
  <c r="F25" i="16"/>
  <c r="E25" i="16"/>
  <c r="D25" i="16"/>
  <c r="J24" i="16"/>
  <c r="J25" i="16"/>
  <c r="H22" i="16"/>
  <c r="G22" i="16"/>
  <c r="F22" i="16"/>
  <c r="E22" i="16"/>
  <c r="D22" i="16"/>
  <c r="J21" i="16"/>
  <c r="J22" i="16"/>
  <c r="H19" i="16"/>
  <c r="G19" i="16"/>
  <c r="F19" i="16"/>
  <c r="E19" i="16"/>
  <c r="D19" i="16"/>
  <c r="J18" i="16"/>
  <c r="J19" i="16" s="1"/>
  <c r="D40" i="37" l="1"/>
  <c r="D7" i="30"/>
  <c r="D16" i="37"/>
  <c r="H7" i="30"/>
  <c r="D37" i="16"/>
  <c r="D34" i="16" l="1"/>
  <c r="D40" i="16" s="1"/>
  <c r="D38" i="16"/>
  <c r="F34" i="16"/>
  <c r="F40" i="16" s="1"/>
  <c r="F38" i="16"/>
  <c r="E38" i="16"/>
  <c r="E34" i="16"/>
  <c r="E40" i="16" s="1"/>
  <c r="G34" i="16" l="1"/>
  <c r="G38" i="16"/>
  <c r="H38" i="16"/>
  <c r="H34" i="16"/>
  <c r="H40" i="16" l="1"/>
  <c r="G40" i="16"/>
  <c r="J38" i="16"/>
  <c r="J40" i="16" s="1"/>
  <c r="E23" i="37" l="1"/>
  <c r="F23" i="37"/>
  <c r="G23" i="37"/>
  <c r="D23" i="37"/>
  <c r="E22" i="37"/>
  <c r="E24" i="37" s="1"/>
  <c r="E9" i="30" s="1"/>
  <c r="F22" i="37"/>
  <c r="G22" i="37"/>
  <c r="D22" i="37"/>
  <c r="H36" i="37"/>
  <c r="H13" i="30" s="1"/>
  <c r="G36" i="37"/>
  <c r="G13" i="30" s="1"/>
  <c r="F36" i="37"/>
  <c r="F13" i="30" s="1"/>
  <c r="E36" i="37"/>
  <c r="E13" i="30" s="1"/>
  <c r="D36" i="37"/>
  <c r="D13" i="30" s="1"/>
  <c r="J13" i="30" s="1"/>
  <c r="J35" i="37"/>
  <c r="H33" i="37"/>
  <c r="H12" i="30" s="1"/>
  <c r="G33" i="37"/>
  <c r="G12" i="30" s="1"/>
  <c r="F33" i="37"/>
  <c r="F12" i="30" s="1"/>
  <c r="E33" i="37"/>
  <c r="E12" i="30" s="1"/>
  <c r="D33" i="37"/>
  <c r="D12" i="30" s="1"/>
  <c r="J32" i="37"/>
  <c r="H30" i="37"/>
  <c r="H11" i="30" s="1"/>
  <c r="G30" i="37"/>
  <c r="G11" i="30" s="1"/>
  <c r="F30" i="37"/>
  <c r="F11" i="30" s="1"/>
  <c r="E30" i="37"/>
  <c r="E11" i="30" s="1"/>
  <c r="D30" i="37"/>
  <c r="D11" i="30" s="1"/>
  <c r="J29" i="37"/>
  <c r="H27" i="37"/>
  <c r="G27" i="37"/>
  <c r="F27" i="37"/>
  <c r="E27" i="37"/>
  <c r="D27" i="37"/>
  <c r="D10" i="30" s="1"/>
  <c r="J26" i="37"/>
  <c r="J11" i="30" l="1"/>
  <c r="J12" i="30"/>
  <c r="J23" i="37"/>
  <c r="J22" i="37"/>
  <c r="D24" i="37"/>
  <c r="H24" i="37"/>
  <c r="H9" i="30" s="1"/>
  <c r="J36" i="37"/>
  <c r="G24" i="37"/>
  <c r="G9" i="30" s="1"/>
  <c r="F24" i="37"/>
  <c r="F9" i="30" s="1"/>
  <c r="J30" i="37"/>
  <c r="J27" i="37"/>
  <c r="J33" i="37"/>
  <c r="G16" i="37" l="1"/>
  <c r="G17" i="37" s="1"/>
  <c r="G37" i="37" s="1"/>
  <c r="G40" i="37"/>
  <c r="G7" i="30"/>
  <c r="J8" i="37"/>
  <c r="J24" i="37"/>
  <c r="D9" i="30"/>
  <c r="J9" i="30" s="1"/>
  <c r="F16" i="37"/>
  <c r="F40" i="37"/>
  <c r="F7" i="30"/>
  <c r="H17" i="37"/>
  <c r="H37" i="37" s="1"/>
  <c r="H41" i="37"/>
  <c r="E17" i="37"/>
  <c r="E37" i="37" s="1"/>
  <c r="E41" i="37"/>
  <c r="J14" i="37" l="1"/>
  <c r="J7" i="30"/>
  <c r="J40" i="37"/>
  <c r="F41" i="37"/>
  <c r="F16" i="30" s="1"/>
  <c r="D24" i="30"/>
  <c r="E16" i="30"/>
  <c r="E43" i="37"/>
  <c r="H16" i="30"/>
  <c r="H43" i="37"/>
  <c r="H8" i="30"/>
  <c r="G8" i="30"/>
  <c r="E8" i="30"/>
  <c r="F17" i="37"/>
  <c r="F37" i="37" s="1"/>
  <c r="G41" i="37"/>
  <c r="G43" i="37" s="1"/>
  <c r="D17" i="37"/>
  <c r="D37" i="37" s="1"/>
  <c r="D41" i="37"/>
  <c r="F43" i="37" l="1"/>
  <c r="J16" i="37"/>
  <c r="J17" i="37" s="1"/>
  <c r="D16" i="30"/>
  <c r="D43" i="37"/>
  <c r="J37" i="37"/>
  <c r="G16" i="30"/>
  <c r="F8" i="30"/>
  <c r="D8" i="30"/>
  <c r="J41" i="37"/>
  <c r="J43" i="37" l="1"/>
  <c r="J8" i="30"/>
  <c r="J16" i="30"/>
  <c r="D23" i="30" l="1"/>
  <c r="D31" i="30" s="1"/>
  <c r="J25" i="29"/>
  <c r="J34" i="29" s="1"/>
  <c r="H10" i="30" l="1"/>
  <c r="F10" i="30"/>
  <c r="E10" i="30"/>
  <c r="G10" i="30"/>
  <c r="J10" i="30" l="1"/>
  <c r="D14" i="30"/>
  <c r="D34" i="29"/>
  <c r="D40" i="29" s="1"/>
  <c r="D18" i="30" l="1"/>
  <c r="G34" i="29"/>
  <c r="G40" i="29" s="1"/>
  <c r="F34" i="29"/>
  <c r="F40" i="29" s="1"/>
  <c r="H34" i="29"/>
  <c r="H40" i="29" s="1"/>
  <c r="H14" i="30"/>
  <c r="H18" i="30" s="1"/>
  <c r="G14" i="30"/>
  <c r="G18" i="30" s="1"/>
  <c r="F14" i="30"/>
  <c r="F18" i="30" s="1"/>
  <c r="E34" i="29"/>
  <c r="E40" i="29" s="1"/>
  <c r="E14" i="30" l="1"/>
  <c r="J14" i="30" s="1"/>
  <c r="J18" i="30" s="1"/>
  <c r="E28" i="30" l="1"/>
  <c r="E18" i="30"/>
  <c r="E26" i="30" l="1"/>
  <c r="E29" i="30"/>
  <c r="E30" i="30"/>
  <c r="E24" i="30"/>
  <c r="E23" i="30"/>
  <c r="E25" i="30"/>
  <c r="E27" i="30"/>
  <c r="E31" i="30" l="1"/>
  <c r="I30" i="29"/>
</calcChain>
</file>

<file path=xl/sharedStrings.xml><?xml version="1.0" encoding="utf-8"?>
<sst xmlns="http://schemas.openxmlformats.org/spreadsheetml/2006/main" count="452" uniqueCount="129">
  <si>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</si>
  <si>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</si>
  <si>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</si>
  <si>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</si>
  <si>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</si>
  <si>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</si>
  <si>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</si>
  <si>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</si>
  <si>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</si>
  <si>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</si>
  <si>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</si>
  <si>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</si>
  <si>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 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</si>
  <si>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</si>
  <si>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</si>
  <si>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</si>
  <si>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</si>
  <si>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</si>
  <si>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 xml:space="preserve"> 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</si>
  <si>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</si>
  <si>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</si>
  <si>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</si>
  <si>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</si>
  <si>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</si>
  <si>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</si>
  <si>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</si>
  <si>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</si>
  <si>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</si>
  <si>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N/A</t>
  </si>
  <si>
    <t xml:space="preserve">Grant Management </t>
  </si>
  <si>
    <t>Regional Zero-Emission Light-Duty Vehicle Incentive Program</t>
  </si>
  <si>
    <t>Regional Zero-Emission MD/HD Vehicle Charging Infrastructure Program</t>
  </si>
  <si>
    <t>Regional Active Transportation Program</t>
  </si>
  <si>
    <t>Regional Transit Incentives Program</t>
  </si>
  <si>
    <t>Bus Rapid Transit Project</t>
  </si>
  <si>
    <t>Regional Building Electrification Program</t>
  </si>
  <si>
    <t>Regional Residential Solar and Energy Storage Program</t>
  </si>
  <si>
    <t>Total</t>
  </si>
  <si>
    <t xml:space="preserve">Detailed Budget Table for Grant Management </t>
  </si>
  <si>
    <t xml:space="preserve">This Excel Workbook is provided to aid applicants in developing the required budget table(s) within the budget narrative.  </t>
  </si>
  <si>
    <t>Personnel</t>
  </si>
  <si>
    <t> </t>
  </si>
  <si>
    <t>Regional Planning Program Manager @ $128,315/yr, 0.05 FTE, with salary increase, assumes bulk of work in Years 1 &amp; 5</t>
  </si>
  <si>
    <t xml:space="preserve">TOTAL PERSONNEL </t>
  </si>
  <si>
    <t xml:space="preserve"> Fringe Benefits </t>
  </si>
  <si>
    <t>Full time employees @ 75.93% of salary</t>
  </si>
  <si>
    <t xml:space="preserve"> Travel </t>
  </si>
  <si>
    <t>Travel for conferences and workshop presentations:</t>
  </si>
  <si>
    <t>Airfare - $400 roundtrip @ 2 roundtrip per year</t>
  </si>
  <si>
    <t>Hotel - $200 per day @ 6 days per year</t>
  </si>
  <si>
    <t>Per Diem - $75 per day @ 7 days per year</t>
  </si>
  <si>
    <t>Local transportation (Rideshare, transit, etc.) - $50 per day @ 7 days per year</t>
  </si>
  <si>
    <t xml:space="preserve"> Equipment </t>
  </si>
  <si>
    <t xml:space="preserve"> Supplies </t>
  </si>
  <si>
    <t xml:space="preserve"> Contractual </t>
  </si>
  <si>
    <t xml:space="preserve">Contractor(s) to perform quantification of GHG emissions, relevant criteria air pollutants, and other quantitative analyses as needed for reporting on measure progress and performance </t>
  </si>
  <si>
    <t>OTHER</t>
  </si>
  <si>
    <t>TOTAL OTHER</t>
  </si>
  <si>
    <t>Indirect Costs</t>
  </si>
  <si>
    <t>Federal negotiated indirect cost rate for full time employees @ 112.65%</t>
  </si>
  <si>
    <t>Detailed Budget Table for Regional Zero-Emission Light-Duty Vehicle Incentive Program</t>
  </si>
  <si>
    <t>Regional Planning Program Manager @ $128,315/yr, 0.1 FTE, with salary increase, assumes bulk of work in Years 1 &amp; 5</t>
  </si>
  <si>
    <t>Senior Regional Planner @ $110,882/yr, 0.2 FTE, with salary increase</t>
  </si>
  <si>
    <t>Associate Regional Planner @ $91,125/yr, 0.5 FTE, with salary increase</t>
  </si>
  <si>
    <t>Associate Contracts Analyst @ $86,778/yr, 0.07 FTE, with salary increase, assumes bulk of work in Years 1 and 5</t>
  </si>
  <si>
    <t>Associate Legal Counsel @ $134,742/yr, 0.07 FTE, with salary increase, assumes bulk of work in Years 1 and 5</t>
  </si>
  <si>
    <t xml:space="preserve"> </t>
  </si>
  <si>
    <t xml:space="preserve">3rd party program administrator to administer the program, including processing of rebates/incentives and data collection/reporting to SANDAG.  Assumes 10% of total program cost for administration per previous contracts, research, and informational interviews. </t>
  </si>
  <si>
    <t>Both the 3rd party administrator fee and CBO/NGO fees should be lower in years 4 and especially 5 since rebates are expeneded. I think we can trim these costs and put to more rebates---though I know we can't ping EPIC now to changes the total GHG reductions.</t>
  </si>
  <si>
    <t xml:space="preserve">Contracts for marketing, education, outreach (MEO), and technical assistance providers including 3rd party program administrator, Community-Based Organizations, and/or non-profit organizations. Assumes 5% of total program cost for MEO and technical assistance. </t>
  </si>
  <si>
    <t>Participant Support Costs (i.e., rebates/incentives for residents)</t>
  </si>
  <si>
    <t>Participant Support Costs (i.e., rebates/incentives for municipal and Tribal Nation fleets)</t>
  </si>
  <si>
    <t>Federal negotiated indirect cost rate for full time employees @ 112.65% of salary</t>
  </si>
  <si>
    <t>Detailed Budget Table for Regional Zero-Emission Medium- and Heavy-Duty Vehicle Charging Infrastructure Incentive Program</t>
  </si>
  <si>
    <t>Subaward to San Diego County Air Pollution Control District for implementation of MD/HD Charging Infrastructure Program</t>
  </si>
  <si>
    <t>Detailed Budget Table for Regional Active Transportation Program</t>
  </si>
  <si>
    <t>Associate Grants Program Analyst @ $86,778/yr, 0.21 FTE, with salary increase</t>
  </si>
  <si>
    <t>Grants Program Manager @ $128,315/yr, 0.08 FTE, with salary increase</t>
  </si>
  <si>
    <t>Senior Contracts and Procurement Analyst @ $105,539/yr, 0.003 FTE, with salary increase</t>
  </si>
  <si>
    <t>Associate Regional Planner @ $91,125/yr, 0.007 FTE, with salary increase</t>
  </si>
  <si>
    <t>Senior Legal Counsel @ $219,606/yr, 0.003 FTE, with salary increase</t>
  </si>
  <si>
    <t>Contracts and Procurement Analyst II @ $78,686/yr, 0.008 FTE, with salary increase</t>
  </si>
  <si>
    <t>Communications Manager @ $128,315/yr, 0.005 FTE, with salary increase</t>
  </si>
  <si>
    <t>Manager of Data Solutions @ $163,842/yr, 0.003 FTE, with salary increase</t>
  </si>
  <si>
    <t>Senior Researcher and Modeler @ $141,482/yr, 0.003 FTE, with salary increase</t>
  </si>
  <si>
    <t>Director II @ $242,133/yr, 0.002 FTE, with salary increase</t>
  </si>
  <si>
    <t>Senior Public Communications Officer @ $110,822/yr, 0.01 FTE, with salary increase</t>
  </si>
  <si>
    <t>Graphic Designer II @ $82,638/yr, 0.001 FTE, with salary increase</t>
  </si>
  <si>
    <t>Consultant to perform labor compliance monitoring for state and federal prevailing wage requirements, including Davis Bacon. Assumes 18 month construction project duration, 8 active projects @ $400/month/project, with 2/3 of Total in Year 4 and 1/3 in Year 5.</t>
  </si>
  <si>
    <t>Participant Support Costs [i.e., pass-through budget for subrecipients (local municipalities)]. Assumes $5 million per subrecipient project and 8 projects, with 15% of Total in Year 2, 25% in Year 3, 35% in Year 4, and 15% in Year 5.</t>
  </si>
  <si>
    <t>Federal negotiated indirect cost rate for full time employees at 112.65% of salary</t>
  </si>
  <si>
    <t xml:space="preserve">Detailed Budget Table for Regional Transit Incentive Programs </t>
  </si>
  <si>
    <t>Associate Regional Planner @ $91,125/yr, 0.25 FTE, with salary increase</t>
  </si>
  <si>
    <t>Associate Public Communications Officer @ $91,125/yr, 0.25 FTE, with salary increase</t>
  </si>
  <si>
    <t>Senior Regional Planner @ $110,882/yr, 0.05 FTE, with salary increase</t>
  </si>
  <si>
    <t>Mileage to Try Transit events (68 events x 30 miles x $0.67) assumes a 1 cent yearly increase in gas reimbursement rate</t>
  </si>
  <si>
    <t>Pronto transit cards &amp; public information materials for YOP</t>
  </si>
  <si>
    <t>1 Laptop for Try Transit events and presentations</t>
  </si>
  <si>
    <t>1 Projector &amp; Screen for Try Transit events and presentations</t>
  </si>
  <si>
    <t xml:space="preserve">Printing (68 events x 30 fliers x $0.45) for Try Transit </t>
  </si>
  <si>
    <t xml:space="preserve">Contractor to assist with Try Transit program administration and management. Based on hourly contractor rates for similar work and assumes yearly rate increase. </t>
  </si>
  <si>
    <t>Participant Support Costs (i.e., 1360 Transit Passes @ 50% rate for Try Transit)</t>
  </si>
  <si>
    <t>Subaward to MTS for YOP</t>
  </si>
  <si>
    <t>Subaward to NCTD for YOP</t>
  </si>
  <si>
    <t>Detailed Budget Table for Bus Rapid Transit Project</t>
  </si>
  <si>
    <t xml:space="preserve">Senior Regional Planner @ $110,882/yr, 0.33 FTE, with salary increase </t>
  </si>
  <si>
    <t xml:space="preserve">2 Associate Regional Planners @ $91,125, 1 FTE, with salary increase </t>
  </si>
  <si>
    <t xml:space="preserve">Regional Planner I @ $74,922, 0.05 FTE, with salary increase </t>
  </si>
  <si>
    <t>Travel for site visits and workshop presentations:</t>
  </si>
  <si>
    <t>Mileage for local travel (500 miles per year at $0.655/mi)</t>
  </si>
  <si>
    <t xml:space="preserve"> Equipment</t>
  </si>
  <si>
    <t>4 CNG Buses @ $1,500,000 each</t>
  </si>
  <si>
    <t>Bus Stops, Shelters, Benches and Pads, Signage for up to 6 bus stops</t>
  </si>
  <si>
    <t>Supplies</t>
  </si>
  <si>
    <t>Public Engagement Materials (fliers, handouts, posters, notices)</t>
  </si>
  <si>
    <t xml:space="preserve"> TOTAL SUPPLIES</t>
  </si>
  <si>
    <t xml:space="preserve">Consultant to provide planning support including route planning, site analysis, etc. </t>
  </si>
  <si>
    <t>Consultant to provide environmental analysis and compliance support</t>
  </si>
  <si>
    <t xml:space="preserve">Consultant to provide outreach and engagement services </t>
  </si>
  <si>
    <t>Subaward to Metropolitan Transit System for maintenance and operation of bus rapid transit route, including bus drivers, bus stop maintenance workers, accompanying paratransit service, etc.</t>
  </si>
  <si>
    <t>Detailed Budget Table for Building Electrification Program</t>
  </si>
  <si>
    <t>Detailed Budget Table for Regional Solar and Energy Storage Program</t>
  </si>
  <si>
    <t>Senior Budget Program Analyst @ $110,882/yr, with salary increase, assumed 0.7 FTE in Years 1 and 5 and 0.025 FTE in Years 2-4</t>
  </si>
  <si>
    <t>Associate Contracts Analyst @ $86,778/yr, with salary increase, assumed 0.1 FTE in Years 1 and 5 and 0.025 FTE in Years 2-4</t>
  </si>
  <si>
    <t>Associate Regional Planner @ $91,125/yr, 0.11 FTE, with salary increase, assumes bulk of work in Years 1 &amp; 5</t>
  </si>
  <si>
    <t>Senior Regional Planner @ $110,882/yr, 0.11 FTE, with salary increase, assumes bulk of work in Years 1 &amp; 5</t>
  </si>
  <si>
    <t>Principal Data Science Research Analyst @ $128,315/yr, 0.07 FTE, with salary increase</t>
  </si>
  <si>
    <t>Subaward to San Diego Community Power (SDCP) as the implementing agency of the San Diego Regional Energy Network (SDREN) for implementation of Residential Solar Program</t>
  </si>
  <si>
    <t>Subaward to San Diego Community Power (SDCP) as the implementing agency of the San Diego Regional Energy Network (SDREN) for implementation of Building Electrification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</si>
</sst>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  <numFmt numFmtId="166" formatCode="0.0000%"/>
    <numFmt numFmtId="167" formatCode="&quot;$&quot;#,##0.0_);[Red]\(&quot;$&quot;#,##0.0\)"/>
    <numFmt numFmtId="168" formatCode="0.0%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1"/>
      <color rgb="FF000000"/>
      <name val="Calibri"/>
      <family val="2"/>
    </font>
    <font>
      <sz val="11"/>
      <color rgb="FF000000"/>
      <name val="Aptos Narrow"/>
      <family val="2"/>
    </font>
    <font>
      <i/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548235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theme="2"/>
        <bgColor rgb="FF000000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84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2" fillId="0" borderId="1" xfId="0" applyFont="1" applyBorder="1"/>
    <xf numFmtId="0" fontId="10" fillId="0" borderId="11" xfId="0" applyFont="1" applyBorder="1" applyAlignment="1">
      <alignment wrapText="1"/>
    </xf>
    <xf numFmtId="0" fontId="11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5" fillId="0" borderId="1" xfId="0" applyFont="1" applyBorder="1" applyAlignment="1">
      <alignment wrapText="1"/>
    </xf>
    <xf numFmtId="0" fontId="13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0" fontId="12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0" fontId="12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10" fillId="0" borderId="19" xfId="0" applyNumberFormat="1" applyFont="1" applyBorder="1" applyAlignment="1">
      <alignment wrapText="1"/>
    </xf>
    <xf numFmtId="0" fontId="10" fillId="3" borderId="20" xfId="0" applyFont="1" applyFill="1" applyBorder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5" fillId="0" borderId="0" xfId="0" applyFont="1"/>
    <xf numFmtId="0" fontId="1" fillId="2" borderId="1" xfId="0" applyFont="1" applyFill="1" applyBorder="1" applyAlignment="1">
      <alignment wrapText="1"/>
    </xf>
    <xf numFmtId="0" fontId="2" fillId="0" borderId="2" xfId="0" applyFont="1" applyBorder="1" applyAlignment="1">
      <alignment vertical="top" wrapText="1"/>
    </xf>
    <xf numFmtId="44" fontId="0" fillId="0" borderId="0" xfId="1" applyFont="1"/>
    <xf numFmtId="0" fontId="15" fillId="0" borderId="1" xfId="0" applyFont="1" applyBorder="1" applyAlignment="1">
      <alignment horizontal="left" wrapText="1" indent="2"/>
    </xf>
    <xf numFmtId="0" fontId="16" fillId="0" borderId="1" xfId="0" applyFont="1" applyBorder="1" applyAlignment="1">
      <alignment vertical="top"/>
    </xf>
    <xf numFmtId="0" fontId="17" fillId="0" borderId="1" xfId="0" applyFont="1" applyBorder="1" applyAlignment="1">
      <alignment horizontal="left" wrapText="1" indent="2"/>
    </xf>
    <xf numFmtId="0" fontId="17" fillId="4" borderId="1" xfId="0" applyFont="1" applyFill="1" applyBorder="1" applyAlignment="1">
      <alignment wrapText="1"/>
    </xf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7" fillId="0" borderId="0" xfId="0" applyFont="1"/>
    <xf numFmtId="0" fontId="16" fillId="0" borderId="1" xfId="0" applyFont="1" applyBorder="1"/>
    <xf numFmtId="0" fontId="16" fillId="0" borderId="11" xfId="0" applyFont="1" applyBorder="1" applyAlignment="1">
      <alignment wrapText="1"/>
    </xf>
    <xf numFmtId="0" fontId="16" fillId="6" borderId="13" xfId="0" applyFont="1" applyFill="1" applyBorder="1" applyAlignment="1">
      <alignment horizontal="left" wrapText="1"/>
    </xf>
    <xf numFmtId="0" fontId="16" fillId="0" borderId="1" xfId="0" applyFont="1" applyBorder="1" applyAlignment="1">
      <alignment horizontal="left" vertical="top"/>
    </xf>
    <xf numFmtId="0" fontId="17" fillId="4" borderId="1" xfId="0" applyFont="1" applyFill="1" applyBorder="1" applyAlignment="1">
      <alignment horizontal="left" wrapText="1"/>
    </xf>
    <xf numFmtId="0" fontId="16" fillId="0" borderId="1" xfId="0" applyFont="1" applyBorder="1" applyAlignment="1">
      <alignment horizontal="left" wrapText="1"/>
    </xf>
    <xf numFmtId="0" fontId="17" fillId="0" borderId="0" xfId="0" applyFont="1" applyAlignment="1">
      <alignment horizontal="left"/>
    </xf>
    <xf numFmtId="0" fontId="16" fillId="0" borderId="1" xfId="0" applyFont="1" applyBorder="1" applyAlignment="1">
      <alignment horizontal="left"/>
    </xf>
    <xf numFmtId="0" fontId="16" fillId="0" borderId="11" xfId="0" applyFont="1" applyBorder="1" applyAlignment="1">
      <alignment horizontal="left" wrapText="1"/>
    </xf>
    <xf numFmtId="6" fontId="15" fillId="0" borderId="1" xfId="0" applyNumberFormat="1" applyFont="1" applyBorder="1" applyAlignment="1">
      <alignment wrapText="1"/>
    </xf>
    <xf numFmtId="6" fontId="17" fillId="0" borderId="0" xfId="0" applyNumberFormat="1" applyFont="1"/>
    <xf numFmtId="6" fontId="17" fillId="0" borderId="1" xfId="0" applyNumberFormat="1" applyFont="1" applyBorder="1" applyAlignment="1">
      <alignment wrapText="1"/>
    </xf>
    <xf numFmtId="6" fontId="15" fillId="4" borderId="1" xfId="0" applyNumberFormat="1" applyFont="1" applyFill="1" applyBorder="1" applyAlignment="1">
      <alignment wrapText="1"/>
    </xf>
    <xf numFmtId="0" fontId="17" fillId="0" borderId="1" xfId="0" applyFont="1" applyBorder="1"/>
    <xf numFmtId="6" fontId="15" fillId="4" borderId="4" xfId="0" applyNumberFormat="1" applyFont="1" applyFill="1" applyBorder="1" applyAlignment="1">
      <alignment wrapText="1"/>
    </xf>
    <xf numFmtId="6" fontId="18" fillId="0" borderId="12" xfId="0" applyNumberFormat="1" applyFont="1" applyBorder="1" applyAlignment="1">
      <alignment wrapText="1"/>
    </xf>
    <xf numFmtId="0" fontId="15" fillId="0" borderId="1" xfId="0" applyFont="1" applyBorder="1" applyAlignment="1">
      <alignment horizontal="left" wrapText="1" indent="1"/>
    </xf>
    <xf numFmtId="0" fontId="15" fillId="0" borderId="1" xfId="0" applyFont="1" applyBorder="1" applyAlignment="1">
      <alignment horizontal="left" vertical="top" wrapText="1" indent="1"/>
    </xf>
    <xf numFmtId="165" fontId="3" fillId="0" borderId="1" xfId="0" applyNumberFormat="1" applyFont="1" applyBorder="1" applyAlignment="1">
      <alignment horizontal="right"/>
    </xf>
    <xf numFmtId="166" fontId="2" fillId="0" borderId="0" xfId="2" applyNumberFormat="1" applyFont="1"/>
    <xf numFmtId="0" fontId="0" fillId="0" borderId="1" xfId="0" applyBorder="1" applyAlignment="1">
      <alignment horizontal="center"/>
    </xf>
    <xf numFmtId="14" fontId="7" fillId="0" borderId="1" xfId="0" applyNumberFormat="1" applyFont="1" applyBorder="1" applyAlignment="1">
      <alignment wrapText="1"/>
    </xf>
    <xf numFmtId="165" fontId="15" fillId="0" borderId="1" xfId="0" applyNumberFormat="1" applyFont="1" applyBorder="1" applyAlignment="1">
      <alignment wrapText="1"/>
    </xf>
    <xf numFmtId="6" fontId="15" fillId="9" borderId="1" xfId="0" applyNumberFormat="1" applyFont="1" applyFill="1" applyBorder="1" applyAlignment="1">
      <alignment wrapText="1"/>
    </xf>
    <xf numFmtId="0" fontId="9" fillId="0" borderId="0" xfId="0" applyFont="1" applyAlignment="1">
      <alignment horizontal="left" wrapText="1" indent="2"/>
    </xf>
    <xf numFmtId="6" fontId="9" fillId="0" borderId="0" xfId="0" applyNumberFormat="1" applyFont="1" applyAlignment="1">
      <alignment wrapText="1"/>
    </xf>
    <xf numFmtId="6" fontId="14" fillId="0" borderId="0" xfId="0" applyNumberFormat="1" applyFont="1" applyAlignment="1">
      <alignment wrapText="1"/>
    </xf>
    <xf numFmtId="6" fontId="15" fillId="0" borderId="0" xfId="0" applyNumberFormat="1" applyFont="1" applyAlignment="1">
      <alignment wrapText="1"/>
    </xf>
    <xf numFmtId="6" fontId="18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6" fontId="7" fillId="0" borderId="0" xfId="0" applyNumberFormat="1" applyFont="1" applyAlignment="1">
      <alignment wrapText="1"/>
    </xf>
    <xf numFmtId="0" fontId="2" fillId="0" borderId="0" xfId="0" applyFont="1" applyAlignment="1">
      <alignment vertical="top" wrapText="1"/>
    </xf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0" fillId="0" borderId="0" xfId="0" applyFont="1" applyAlignment="1">
      <alignment wrapText="1"/>
    </xf>
    <xf numFmtId="164" fontId="0" fillId="0" borderId="0" xfId="1" applyNumberFormat="1" applyFont="1" applyFill="1" applyBorder="1"/>
    <xf numFmtId="6" fontId="18" fillId="0" borderId="22" xfId="0" applyNumberFormat="1" applyFont="1" applyBorder="1" applyAlignment="1">
      <alignment wrapText="1"/>
    </xf>
    <xf numFmtId="6" fontId="18" fillId="0" borderId="19" xfId="0" applyNumberFormat="1" applyFont="1" applyBorder="1" applyAlignment="1">
      <alignment wrapText="1"/>
    </xf>
    <xf numFmtId="0" fontId="10" fillId="0" borderId="1" xfId="0" applyFont="1" applyBorder="1"/>
    <xf numFmtId="0" fontId="17" fillId="0" borderId="0" xfId="0" applyFont="1" applyAlignment="1">
      <alignment vertical="top"/>
    </xf>
    <xf numFmtId="0" fontId="19" fillId="0" borderId="0" xfId="0" applyFont="1"/>
    <xf numFmtId="0" fontId="20" fillId="10" borderId="8" xfId="0" applyFont="1" applyFill="1" applyBorder="1"/>
    <xf numFmtId="0" fontId="16" fillId="10" borderId="7" xfId="0" applyFont="1" applyFill="1" applyBorder="1" applyAlignment="1">
      <alignment wrapText="1"/>
    </xf>
    <xf numFmtId="0" fontId="16" fillId="10" borderId="6" xfId="0" applyFont="1" applyFill="1" applyBorder="1" applyAlignment="1">
      <alignment wrapText="1"/>
    </xf>
    <xf numFmtId="0" fontId="16" fillId="11" borderId="13" xfId="0" applyFont="1" applyFill="1" applyBorder="1" applyAlignment="1">
      <alignment wrapText="1"/>
    </xf>
    <xf numFmtId="0" fontId="16" fillId="11" borderId="14" xfId="0" applyFont="1" applyFill="1" applyBorder="1" applyAlignment="1">
      <alignment wrapText="1"/>
    </xf>
    <xf numFmtId="0" fontId="16" fillId="11" borderId="15" xfId="0" applyFont="1" applyFill="1" applyBorder="1" applyAlignment="1">
      <alignment wrapText="1"/>
    </xf>
    <xf numFmtId="0" fontId="16" fillId="11" borderId="7" xfId="0" applyFont="1" applyFill="1" applyBorder="1" applyAlignment="1">
      <alignment wrapText="1"/>
    </xf>
    <xf numFmtId="0" fontId="16" fillId="11" borderId="3" xfId="0" applyFont="1" applyFill="1" applyBorder="1"/>
    <xf numFmtId="0" fontId="16" fillId="0" borderId="2" xfId="0" applyFont="1" applyBorder="1" applyAlignment="1">
      <alignment vertical="top" wrapText="1"/>
    </xf>
    <xf numFmtId="0" fontId="17" fillId="0" borderId="5" xfId="0" applyFont="1" applyBorder="1" applyAlignment="1">
      <alignment vertical="top"/>
    </xf>
    <xf numFmtId="0" fontId="17" fillId="0" borderId="3" xfId="0" applyFont="1" applyBorder="1" applyAlignment="1">
      <alignment vertical="top"/>
    </xf>
    <xf numFmtId="0" fontId="17" fillId="0" borderId="1" xfId="0" applyFont="1" applyBorder="1" applyAlignment="1">
      <alignment vertical="top"/>
    </xf>
    <xf numFmtId="0" fontId="16" fillId="0" borderId="0" xfId="0" applyFont="1"/>
    <xf numFmtId="164" fontId="17" fillId="0" borderId="0" xfId="1" applyNumberFormat="1" applyFont="1" applyBorder="1"/>
    <xf numFmtId="0" fontId="7" fillId="0" borderId="28" xfId="0" applyFont="1" applyBorder="1" applyAlignment="1">
      <alignment wrapText="1"/>
    </xf>
    <xf numFmtId="0" fontId="5" fillId="0" borderId="27" xfId="0" applyFont="1" applyBorder="1" applyAlignment="1">
      <alignment horizontal="left" wrapText="1" indent="2"/>
    </xf>
    <xf numFmtId="6" fontId="5" fillId="0" borderId="28" xfId="0" applyNumberFormat="1" applyFont="1" applyBorder="1" applyAlignment="1">
      <alignment wrapText="1"/>
    </xf>
    <xf numFmtId="0" fontId="7" fillId="4" borderId="27" xfId="0" applyFont="1" applyFill="1" applyBorder="1" applyAlignment="1">
      <alignment wrapText="1"/>
    </xf>
    <xf numFmtId="6" fontId="5" fillId="4" borderId="28" xfId="0" applyNumberFormat="1" applyFont="1" applyFill="1" applyBorder="1" applyAlignment="1">
      <alignment wrapText="1"/>
    </xf>
    <xf numFmtId="0" fontId="10" fillId="0" borderId="27" xfId="0" applyFont="1" applyBorder="1" applyAlignment="1">
      <alignment wrapText="1"/>
    </xf>
    <xf numFmtId="0" fontId="5" fillId="0" borderId="28" xfId="0" applyFont="1" applyBorder="1" applyAlignment="1">
      <alignment wrapText="1"/>
    </xf>
    <xf numFmtId="6" fontId="5" fillId="0" borderId="1" xfId="0" applyNumberFormat="1" applyFont="1" applyBorder="1" applyAlignment="1">
      <alignment wrapText="1"/>
    </xf>
    <xf numFmtId="6" fontId="5" fillId="4" borderId="1" xfId="0" applyNumberFormat="1" applyFont="1" applyFill="1" applyBorder="1" applyAlignment="1">
      <alignment wrapText="1"/>
    </xf>
    <xf numFmtId="6" fontId="21" fillId="0" borderId="12" xfId="0" applyNumberFormat="1" applyFont="1" applyBorder="1" applyAlignment="1">
      <alignment wrapText="1"/>
    </xf>
    <xf numFmtId="0" fontId="3" fillId="0" borderId="1" xfId="0" applyFont="1" applyBorder="1" applyAlignment="1">
      <alignment horizontal="left" vertical="top" wrapText="1" indent="1"/>
    </xf>
    <xf numFmtId="0" fontId="3" fillId="0" borderId="0" xfId="0" applyFont="1" applyAlignment="1">
      <alignment horizontal="left" vertical="top" wrapText="1" indent="1"/>
    </xf>
    <xf numFmtId="0" fontId="10" fillId="0" borderId="19" xfId="0" applyFont="1" applyBorder="1" applyAlignment="1">
      <alignment wrapText="1"/>
    </xf>
    <xf numFmtId="6" fontId="15" fillId="0" borderId="6" xfId="0" applyNumberFormat="1" applyFont="1" applyBorder="1" applyAlignment="1">
      <alignment wrapText="1"/>
    </xf>
    <xf numFmtId="0" fontId="15" fillId="0" borderId="1" xfId="0" applyFont="1" applyBorder="1"/>
    <xf numFmtId="6" fontId="15" fillId="7" borderId="1" xfId="0" applyNumberFormat="1" applyFont="1" applyFill="1" applyBorder="1" applyAlignment="1">
      <alignment horizontal="left" vertical="top" wrapText="1"/>
    </xf>
    <xf numFmtId="6" fontId="15" fillId="7" borderId="8" xfId="0" applyNumberFormat="1" applyFont="1" applyFill="1" applyBorder="1" applyAlignment="1">
      <alignment wrapText="1"/>
    </xf>
    <xf numFmtId="6" fontId="15" fillId="7" borderId="1" xfId="0" applyNumberFormat="1" applyFont="1" applyFill="1" applyBorder="1" applyAlignment="1">
      <alignment wrapText="1"/>
    </xf>
    <xf numFmtId="0" fontId="15" fillId="0" borderId="8" xfId="0" applyFont="1" applyBorder="1" applyAlignment="1">
      <alignment horizontal="left" wrapText="1" indent="1"/>
    </xf>
    <xf numFmtId="0" fontId="7" fillId="7" borderId="1" xfId="0" applyFont="1" applyFill="1" applyBorder="1" applyAlignment="1">
      <alignment horizontal="center" wrapText="1"/>
    </xf>
    <xf numFmtId="0" fontId="7" fillId="4" borderId="2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0" fillId="3" borderId="6" xfId="0" applyFont="1" applyFill="1" applyBorder="1"/>
    <xf numFmtId="0" fontId="10" fillId="3" borderId="1" xfId="0" applyFont="1" applyFill="1" applyBorder="1" applyAlignment="1">
      <alignment wrapText="1"/>
    </xf>
    <xf numFmtId="0" fontId="0" fillId="0" borderId="8" xfId="0" applyBorder="1" applyAlignment="1">
      <alignment vertical="top"/>
    </xf>
    <xf numFmtId="0" fontId="0" fillId="0" borderId="7" xfId="0" applyBorder="1"/>
    <xf numFmtId="0" fontId="7" fillId="4" borderId="5" xfId="0" applyFont="1" applyFill="1" applyBorder="1" applyAlignment="1">
      <alignment wrapText="1"/>
    </xf>
    <xf numFmtId="0" fontId="0" fillId="0" borderId="30" xfId="0" applyBorder="1" applyAlignment="1">
      <alignment vertical="top"/>
    </xf>
    <xf numFmtId="0" fontId="0" fillId="0" borderId="25" xfId="0" applyBorder="1"/>
    <xf numFmtId="0" fontId="10" fillId="0" borderId="0" xfId="0" applyFont="1"/>
    <xf numFmtId="0" fontId="15" fillId="0" borderId="1" xfId="0" applyFont="1" applyBorder="1" applyAlignment="1">
      <alignment horizontal="left" vertical="top" wrapText="1" indent="2"/>
    </xf>
    <xf numFmtId="0" fontId="15" fillId="0" borderId="8" xfId="0" applyFont="1" applyBorder="1" applyAlignment="1">
      <alignment horizontal="left" vertical="top" wrapText="1" indent="1"/>
    </xf>
    <xf numFmtId="0" fontId="7" fillId="7" borderId="1" xfId="0" applyFont="1" applyFill="1" applyBorder="1" applyAlignment="1">
      <alignment horizontal="left" wrapText="1"/>
    </xf>
    <xf numFmtId="0" fontId="2" fillId="0" borderId="5" xfId="0" applyFont="1" applyBorder="1" applyAlignment="1">
      <alignment vertical="top" wrapText="1"/>
    </xf>
    <xf numFmtId="165" fontId="5" fillId="0" borderId="1" xfId="0" applyNumberFormat="1" applyFont="1" applyBorder="1" applyAlignment="1">
      <alignment wrapText="1"/>
    </xf>
    <xf numFmtId="165" fontId="5" fillId="0" borderId="1" xfId="0" applyNumberFormat="1" applyFont="1" applyBorder="1"/>
    <xf numFmtId="0" fontId="10" fillId="6" borderId="23" xfId="0" applyFont="1" applyFill="1" applyBorder="1" applyAlignment="1">
      <alignment wrapText="1"/>
    </xf>
    <xf numFmtId="0" fontId="10" fillId="6" borderId="24" xfId="0" applyFont="1" applyFill="1" applyBorder="1" applyAlignment="1">
      <alignment wrapText="1"/>
    </xf>
    <xf numFmtId="0" fontId="2" fillId="0" borderId="27" xfId="0" applyFont="1" applyBorder="1" applyAlignment="1">
      <alignment vertical="top"/>
    </xf>
    <xf numFmtId="0" fontId="5" fillId="0" borderId="27" xfId="0" applyFont="1" applyBorder="1" applyAlignment="1">
      <alignment horizontal="left" wrapText="1" indent="1"/>
    </xf>
    <xf numFmtId="0" fontId="22" fillId="0" borderId="27" xfId="0" applyFont="1" applyBorder="1" applyAlignment="1">
      <alignment horizontal="left" wrapText="1" indent="1"/>
    </xf>
    <xf numFmtId="8" fontId="17" fillId="0" borderId="0" xfId="0" applyNumberFormat="1" applyFont="1"/>
    <xf numFmtId="165" fontId="17" fillId="0" borderId="1" xfId="0" applyNumberFormat="1" applyFont="1" applyBorder="1" applyAlignment="1">
      <alignment wrapText="1"/>
    </xf>
    <xf numFmtId="165" fontId="15" fillId="0" borderId="1" xfId="0" applyNumberFormat="1" applyFont="1" applyBorder="1" applyAlignment="1">
      <alignment horizontal="left" wrapText="1" indent="1"/>
    </xf>
    <xf numFmtId="6" fontId="15" fillId="0" borderId="1" xfId="0" applyNumberFormat="1" applyFont="1" applyBorder="1"/>
    <xf numFmtId="167" fontId="0" fillId="0" borderId="0" xfId="0" applyNumberFormat="1"/>
    <xf numFmtId="6" fontId="15" fillId="0" borderId="1" xfId="0" applyNumberFormat="1" applyFont="1" applyBorder="1" applyAlignment="1">
      <alignment vertical="top"/>
    </xf>
    <xf numFmtId="0" fontId="23" fillId="0" borderId="0" xfId="0" applyFont="1" applyAlignment="1">
      <alignment vertical="center"/>
    </xf>
    <xf numFmtId="6" fontId="24" fillId="0" borderId="0" xfId="0" applyNumberFormat="1" applyFont="1" applyAlignment="1">
      <alignment horizontal="right" vertical="center" wrapText="1"/>
    </xf>
    <xf numFmtId="6" fontId="23" fillId="0" borderId="0" xfId="0" applyNumberFormat="1" applyFont="1" applyAlignment="1">
      <alignment horizontal="right" vertical="center"/>
    </xf>
    <xf numFmtId="0" fontId="17" fillId="8" borderId="2" xfId="0" applyFont="1" applyFill="1" applyBorder="1"/>
    <xf numFmtId="0" fontId="17" fillId="8" borderId="5" xfId="0" applyFont="1" applyFill="1" applyBorder="1"/>
    <xf numFmtId="6" fontId="15" fillId="4" borderId="2" xfId="0" applyNumberFormat="1" applyFont="1" applyFill="1" applyBorder="1" applyAlignment="1">
      <alignment wrapText="1"/>
    </xf>
    <xf numFmtId="6" fontId="5" fillId="4" borderId="5" xfId="0" applyNumberFormat="1" applyFont="1" applyFill="1" applyBorder="1" applyAlignment="1">
      <alignment wrapText="1"/>
    </xf>
    <xf numFmtId="0" fontId="5" fillId="0" borderId="0" xfId="0" applyFont="1"/>
    <xf numFmtId="9" fontId="0" fillId="0" borderId="0" xfId="2" applyFont="1"/>
    <xf numFmtId="165" fontId="5" fillId="9" borderId="1" xfId="0" applyNumberFormat="1" applyFont="1" applyFill="1" applyBorder="1"/>
    <xf numFmtId="6" fontId="15" fillId="7" borderId="8" xfId="1" applyNumberFormat="1" applyFont="1" applyFill="1" applyBorder="1" applyAlignment="1">
      <alignment wrapText="1"/>
    </xf>
    <xf numFmtId="6" fontId="25" fillId="0" borderId="0" xfId="0" applyNumberFormat="1" applyFont="1"/>
    <xf numFmtId="6" fontId="26" fillId="0" borderId="0" xfId="0" applyNumberFormat="1" applyFont="1" applyAlignment="1">
      <alignment wrapText="1"/>
    </xf>
    <xf numFmtId="164" fontId="25" fillId="0" borderId="0" xfId="1" applyNumberFormat="1" applyFont="1" applyBorder="1"/>
    <xf numFmtId="8" fontId="0" fillId="0" borderId="0" xfId="0" applyNumberFormat="1"/>
    <xf numFmtId="16" fontId="0" fillId="0" borderId="0" xfId="0" applyNumberFormat="1"/>
    <xf numFmtId="6" fontId="10" fillId="0" borderId="31" xfId="0" applyNumberFormat="1" applyFont="1" applyBorder="1" applyAlignment="1">
      <alignment wrapText="1"/>
    </xf>
    <xf numFmtId="6" fontId="15" fillId="0" borderId="32" xfId="0" applyNumberFormat="1" applyFont="1" applyBorder="1" applyAlignment="1">
      <alignment wrapText="1"/>
    </xf>
    <xf numFmtId="0" fontId="10" fillId="6" borderId="20" xfId="0" applyFont="1" applyFill="1" applyBorder="1" applyAlignment="1">
      <alignment wrapText="1"/>
    </xf>
    <xf numFmtId="165" fontId="5" fillId="0" borderId="8" xfId="0" applyNumberFormat="1" applyFont="1" applyBorder="1" applyAlignment="1">
      <alignment wrapText="1"/>
    </xf>
    <xf numFmtId="6" fontId="15" fillId="0" borderId="8" xfId="0" applyNumberFormat="1" applyFont="1" applyBorder="1" applyAlignment="1">
      <alignment wrapText="1"/>
    </xf>
    <xf numFmtId="6" fontId="15" fillId="4" borderId="8" xfId="0" applyNumberFormat="1" applyFont="1" applyFill="1" applyBorder="1" applyAlignment="1">
      <alignment wrapText="1"/>
    </xf>
    <xf numFmtId="0" fontId="17" fillId="0" borderId="8" xfId="0" applyFont="1" applyBorder="1" applyAlignment="1">
      <alignment wrapText="1"/>
    </xf>
    <xf numFmtId="6" fontId="15" fillId="4" borderId="33" xfId="0" applyNumberFormat="1" applyFont="1" applyFill="1" applyBorder="1" applyAlignment="1">
      <alignment wrapText="1"/>
    </xf>
    <xf numFmtId="6" fontId="17" fillId="0" borderId="8" xfId="0" applyNumberFormat="1" applyFont="1" applyBorder="1" applyAlignment="1">
      <alignment wrapText="1"/>
    </xf>
    <xf numFmtId="0" fontId="17" fillId="0" borderId="8" xfId="0" applyFont="1" applyBorder="1"/>
    <xf numFmtId="6" fontId="18" fillId="0" borderId="34" xfId="0" applyNumberFormat="1" applyFont="1" applyBorder="1" applyAlignment="1">
      <alignment wrapText="1"/>
    </xf>
    <xf numFmtId="165" fontId="5" fillId="0" borderId="0" xfId="0" applyNumberFormat="1" applyFont="1"/>
    <xf numFmtId="6" fontId="15" fillId="0" borderId="0" xfId="0" applyNumberFormat="1" applyFont="1"/>
    <xf numFmtId="0" fontId="7" fillId="0" borderId="8" xfId="0" applyFont="1" applyBorder="1" applyAlignment="1">
      <alignment wrapText="1"/>
    </xf>
    <xf numFmtId="165" fontId="15" fillId="0" borderId="8" xfId="0" applyNumberFormat="1" applyFont="1" applyBorder="1" applyAlignment="1">
      <alignment wrapText="1"/>
    </xf>
    <xf numFmtId="6" fontId="15" fillId="4" borderId="35" xfId="0" applyNumberFormat="1" applyFont="1" applyFill="1" applyBorder="1" applyAlignment="1">
      <alignment wrapText="1"/>
    </xf>
    <xf numFmtId="6" fontId="21" fillId="0" borderId="19" xfId="0" applyNumberFormat="1" applyFont="1" applyBorder="1" applyAlignment="1">
      <alignment wrapText="1"/>
    </xf>
    <xf numFmtId="6" fontId="21" fillId="0" borderId="22" xfId="0" applyNumberFormat="1" applyFont="1" applyBorder="1" applyAlignment="1">
      <alignment wrapText="1"/>
    </xf>
    <xf numFmtId="0" fontId="7" fillId="0" borderId="36" xfId="0" applyFont="1" applyBorder="1" applyAlignment="1">
      <alignment wrapText="1"/>
    </xf>
    <xf numFmtId="6" fontId="5" fillId="0" borderId="36" xfId="0" applyNumberFormat="1" applyFont="1" applyBorder="1" applyAlignment="1">
      <alignment wrapText="1"/>
    </xf>
    <xf numFmtId="6" fontId="5" fillId="4" borderId="36" xfId="0" applyNumberFormat="1" applyFont="1" applyFill="1" applyBorder="1" applyAlignment="1">
      <alignment wrapText="1"/>
    </xf>
    <xf numFmtId="6" fontId="7" fillId="0" borderId="0" xfId="0" applyNumberFormat="1" applyFont="1"/>
    <xf numFmtId="6" fontId="5" fillId="0" borderId="0" xfId="0" applyNumberFormat="1" applyFont="1" applyAlignment="1">
      <alignment wrapText="1"/>
    </xf>
    <xf numFmtId="0" fontId="10" fillId="6" borderId="2" xfId="0" applyFont="1" applyFill="1" applyBorder="1"/>
    <xf numFmtId="0" fontId="7" fillId="0" borderId="37" xfId="0" applyFont="1" applyBorder="1"/>
    <xf numFmtId="6" fontId="5" fillId="0" borderId="37" xfId="0" applyNumberFormat="1" applyFont="1" applyBorder="1" applyAlignment="1">
      <alignment wrapText="1"/>
    </xf>
    <xf numFmtId="6" fontId="5" fillId="4" borderId="37" xfId="0" applyNumberFormat="1" applyFont="1" applyFill="1" applyBorder="1" applyAlignment="1">
      <alignment wrapText="1"/>
    </xf>
    <xf numFmtId="6" fontId="5" fillId="4" borderId="38" xfId="0" applyNumberFormat="1" applyFont="1" applyFill="1" applyBorder="1" applyAlignment="1">
      <alignment wrapText="1"/>
    </xf>
    <xf numFmtId="0" fontId="10" fillId="6" borderId="39" xfId="0" applyFont="1" applyFill="1" applyBorder="1" applyAlignment="1">
      <alignment wrapText="1"/>
    </xf>
    <xf numFmtId="0" fontId="10" fillId="6" borderId="2" xfId="0" applyFont="1" applyFill="1" applyBorder="1" applyAlignment="1">
      <alignment wrapText="1"/>
    </xf>
    <xf numFmtId="0" fontId="7" fillId="0" borderId="37" xfId="0" applyFont="1" applyBorder="1" applyAlignment="1">
      <alignment wrapText="1"/>
    </xf>
    <xf numFmtId="0" fontId="10" fillId="6" borderId="1" xfId="0" applyFont="1" applyFill="1" applyBorder="1" applyAlignment="1">
      <alignment wrapText="1"/>
    </xf>
    <xf numFmtId="0" fontId="1" fillId="5" borderId="0" xfId="0" applyFont="1" applyFill="1" applyAlignment="1">
      <alignment wrapText="1"/>
    </xf>
    <xf numFmtId="0" fontId="10" fillId="6" borderId="8" xfId="0" applyFont="1" applyFill="1" applyBorder="1" applyAlignment="1">
      <alignment wrapText="1"/>
    </xf>
    <xf numFmtId="0" fontId="10" fillId="6" borderId="1" xfId="0" applyFont="1" applyFill="1" applyBorder="1"/>
    <xf numFmtId="6" fontId="15" fillId="0" borderId="8" xfId="0" applyNumberFormat="1" applyFont="1" applyBorder="1"/>
    <xf numFmtId="0" fontId="1" fillId="5" borderId="25" xfId="0" applyFont="1" applyFill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3" xfId="0" applyFont="1" applyBorder="1"/>
    <xf numFmtId="165" fontId="17" fillId="0" borderId="0" xfId="0" applyNumberFormat="1" applyFont="1"/>
    <xf numFmtId="165" fontId="17" fillId="0" borderId="8" xfId="0" applyNumberFormat="1" applyFont="1" applyBorder="1" applyAlignment="1">
      <alignment wrapText="1"/>
    </xf>
    <xf numFmtId="0" fontId="15" fillId="0" borderId="1" xfId="0" applyFont="1" applyBorder="1" applyAlignment="1">
      <alignment horizontal="left" vertical="center" wrapText="1" indent="1"/>
    </xf>
    <xf numFmtId="6" fontId="15" fillId="7" borderId="5" xfId="0" applyNumberFormat="1" applyFont="1" applyFill="1" applyBorder="1" applyAlignment="1">
      <alignment wrapText="1"/>
    </xf>
    <xf numFmtId="6" fontId="5" fillId="0" borderId="40" xfId="0" applyNumberFormat="1" applyFont="1" applyBorder="1" applyAlignment="1">
      <alignment wrapText="1"/>
    </xf>
    <xf numFmtId="0" fontId="0" fillId="0" borderId="1" xfId="0" applyBorder="1"/>
    <xf numFmtId="0" fontId="10" fillId="0" borderId="41" xfId="0" applyFont="1" applyBorder="1" applyAlignment="1">
      <alignment wrapText="1"/>
    </xf>
    <xf numFmtId="0" fontId="5" fillId="0" borderId="26" xfId="0" applyFont="1" applyBorder="1" applyAlignment="1">
      <alignment wrapText="1"/>
    </xf>
    <xf numFmtId="0" fontId="7" fillId="4" borderId="4" xfId="0" applyFont="1" applyFill="1" applyBorder="1" applyAlignment="1">
      <alignment wrapText="1"/>
    </xf>
    <xf numFmtId="6" fontId="5" fillId="4" borderId="29" xfId="0" applyNumberFormat="1" applyFont="1" applyFill="1" applyBorder="1" applyAlignment="1">
      <alignment wrapText="1"/>
    </xf>
    <xf numFmtId="6" fontId="5" fillId="4" borderId="35" xfId="0" applyNumberFormat="1" applyFont="1" applyFill="1" applyBorder="1" applyAlignment="1">
      <alignment wrapText="1"/>
    </xf>
    <xf numFmtId="0" fontId="0" fillId="0" borderId="1" xfId="0" applyBorder="1" applyAlignment="1">
      <alignment vertical="top"/>
    </xf>
    <xf numFmtId="164" fontId="0" fillId="0" borderId="1" xfId="1" applyNumberFormat="1" applyFont="1" applyBorder="1"/>
    <xf numFmtId="6" fontId="5" fillId="0" borderId="27" xfId="0" applyNumberFormat="1" applyFont="1" applyBorder="1" applyAlignment="1">
      <alignment wrapText="1"/>
    </xf>
    <xf numFmtId="0" fontId="5" fillId="0" borderId="1" xfId="0" applyFont="1" applyBorder="1" applyAlignment="1">
      <alignment horizontal="left" wrapText="1" indent="1"/>
    </xf>
    <xf numFmtId="6" fontId="5" fillId="9" borderId="35" xfId="0" applyNumberFormat="1" applyFont="1" applyFill="1" applyBorder="1" applyAlignment="1">
      <alignment wrapText="1"/>
    </xf>
    <xf numFmtId="0" fontId="17" fillId="0" borderId="0" xfId="0" applyFont="1" applyAlignment="1">
      <alignment horizontal="left" vertical="top" indent="1"/>
    </xf>
    <xf numFmtId="0" fontId="15" fillId="0" borderId="1" xfId="0" applyFont="1" applyBorder="1" applyAlignment="1">
      <alignment horizontal="left" vertical="top" indent="1"/>
    </xf>
    <xf numFmtId="6" fontId="15" fillId="0" borderId="1" xfId="0" applyNumberFormat="1" applyFont="1" applyBorder="1" applyAlignment="1">
      <alignment horizontal="right" vertical="top"/>
    </xf>
    <xf numFmtId="6" fontId="15" fillId="0" borderId="8" xfId="0" applyNumberFormat="1" applyFont="1" applyBorder="1" applyAlignment="1">
      <alignment horizontal="right" vertical="top"/>
    </xf>
    <xf numFmtId="6" fontId="5" fillId="0" borderId="0" xfId="0" applyNumberFormat="1" applyFont="1"/>
    <xf numFmtId="0" fontId="5" fillId="0" borderId="36" xfId="0" applyFont="1" applyBorder="1" applyAlignment="1">
      <alignment wrapText="1"/>
    </xf>
    <xf numFmtId="0" fontId="5" fillId="0" borderId="37" xfId="0" applyFont="1" applyBorder="1" applyAlignment="1">
      <alignment wrapText="1"/>
    </xf>
    <xf numFmtId="0" fontId="5" fillId="0" borderId="37" xfId="0" applyFont="1" applyBorder="1"/>
    <xf numFmtId="165" fontId="5" fillId="0" borderId="28" xfId="0" applyNumberFormat="1" applyFont="1" applyBorder="1" applyAlignment="1">
      <alignment wrapText="1"/>
    </xf>
    <xf numFmtId="165" fontId="5" fillId="0" borderId="37" xfId="0" applyNumberFormat="1" applyFont="1" applyBorder="1" applyAlignment="1">
      <alignment wrapText="1"/>
    </xf>
    <xf numFmtId="0" fontId="5" fillId="0" borderId="42" xfId="0" applyFont="1" applyBorder="1" applyAlignment="1">
      <alignment wrapText="1"/>
    </xf>
    <xf numFmtId="0" fontId="5" fillId="0" borderId="40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0" fontId="2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5" fillId="0" borderId="6" xfId="0" applyFont="1" applyBorder="1" applyAlignment="1">
      <alignment horizontal="left" wrapText="1" indent="1"/>
    </xf>
    <xf numFmtId="164" fontId="17" fillId="0" borderId="1" xfId="1" applyNumberFormat="1" applyFont="1" applyBorder="1"/>
    <xf numFmtId="6" fontId="2" fillId="0" borderId="0" xfId="0" applyNumberFormat="1" applyFont="1"/>
    <xf numFmtId="8" fontId="2" fillId="0" borderId="0" xfId="0" applyNumberFormat="1" applyFont="1"/>
    <xf numFmtId="165" fontId="0" fillId="0" borderId="0" xfId="0" applyNumberFormat="1"/>
    <xf numFmtId="3" fontId="15" fillId="7" borderId="6" xfId="0" applyNumberFormat="1" applyFont="1" applyFill="1" applyBorder="1" applyAlignment="1">
      <alignment wrapText="1"/>
    </xf>
    <xf numFmtId="3" fontId="15" fillId="12" borderId="1" xfId="0" applyNumberFormat="1" applyFont="1" applyFill="1" applyBorder="1" applyAlignment="1">
      <alignment wrapText="1"/>
    </xf>
    <xf numFmtId="3" fontId="0" fillId="0" borderId="0" xfId="0" applyNumberFormat="1"/>
    <xf numFmtId="3" fontId="5" fillId="4" borderId="1" xfId="0" applyNumberFormat="1" applyFont="1" applyFill="1" applyBorder="1" applyAlignment="1">
      <alignment wrapText="1"/>
    </xf>
    <xf numFmtId="3" fontId="10" fillId="0" borderId="19" xfId="0" applyNumberFormat="1" applyFont="1" applyBorder="1" applyAlignment="1">
      <alignment wrapText="1"/>
    </xf>
    <xf numFmtId="8" fontId="15" fillId="9" borderId="1" xfId="0" applyNumberFormat="1" applyFont="1" applyFill="1" applyBorder="1" applyAlignment="1">
      <alignment wrapText="1"/>
    </xf>
    <xf numFmtId="0" fontId="0" fillId="13" borderId="0" xfId="0" applyFill="1"/>
    <xf numFmtId="0" fontId="3" fillId="0" borderId="0" xfId="0" applyFont="1" applyAlignment="1">
      <alignment horizontal="left" wrapText="1"/>
    </xf>
    <xf numFmtId="9" fontId="17" fillId="0" borderId="8" xfId="2" applyFont="1" applyBorder="1" applyAlignment="1">
      <alignment horizontal="center"/>
    </xf>
    <xf numFmtId="9" fontId="17" fillId="0" borderId="6" xfId="2" applyFont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17" fillId="0" borderId="0" xfId="0" applyFont="1"/>
    <xf numFmtId="0" fontId="17" fillId="0" borderId="21" xfId="0" applyFont="1" applyBorder="1"/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/>
    </xf>
    <xf numFmtId="0" fontId="16" fillId="0" borderId="5" xfId="0" applyFont="1" applyBorder="1" applyAlignment="1">
      <alignment horizontal="center" vertical="top"/>
    </xf>
    <xf numFmtId="0" fontId="16" fillId="0" borderId="3" xfId="0" applyFont="1" applyBorder="1" applyAlignment="1">
      <alignment horizontal="center" vertical="top"/>
    </xf>
    <xf numFmtId="0" fontId="0" fillId="8" borderId="0" xfId="0" applyFill="1"/>
    <xf numFmtId="164" fontId="0" fillId="8" borderId="0" xfId="1" applyNumberFormat="1" applyFont="1" applyFill="1" applyBorder="1"/>
    <xf numFmtId="0" fontId="7" fillId="8" borderId="0" xfId="0" applyFont="1" applyFill="1"/>
    <xf numFmtId="168" fontId="17" fillId="0" borderId="8" xfId="2" applyNumberFormat="1" applyFont="1" applyBorder="1" applyAlignment="1">
      <alignment horizontal="center"/>
    </xf>
    <xf numFmtId="168" fontId="17" fillId="0" borderId="6" xfId="2" applyNumberFormat="1" applyFont="1" applyBorder="1" applyAlignment="1">
      <alignment horizontal="center"/>
    </xf>
    <xf numFmtId="6" fontId="0" fillId="0" borderId="0" xfId="0" applyNumberFormat="1" applyBorder="1"/>
    <xf numFmtId="0" fontId="0" fillId="0" borderId="0" xfId="0" applyBorder="1"/>
    <xf numFmtId="44" fontId="0" fillId="0" borderId="0" xfId="0" applyNumberFormat="1" applyBorder="1"/>
    <xf numFmtId="9" fontId="0" fillId="0" borderId="0" xfId="2" applyFont="1" applyBorder="1"/>
    <xf numFmtId="6" fontId="15" fillId="0" borderId="0" xfId="0" applyNumberFormat="1" applyFont="1" applyBorder="1" applyAlignment="1">
      <alignment wrapText="1"/>
    </xf>
    <xf numFmtId="0" fontId="17" fillId="0" borderId="0" xfId="0" applyFont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I43" sqref="I43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24"/>
      <c r="K2" s="3"/>
    </row>
    <row r="3" spans="4:11" x14ac:dyDescent="0.25">
      <c r="D3" s="3"/>
      <c r="E3" s="3"/>
      <c r="J3" s="22"/>
      <c r="K3" s="23"/>
    </row>
    <row r="4" spans="4:11" x14ac:dyDescent="0.25">
      <c r="D4" s="4"/>
      <c r="E4" s="3"/>
    </row>
    <row r="9" spans="4:11" x14ac:dyDescent="0.25">
      <c r="J9" s="14"/>
    </row>
    <row r="17" spans="5:18" x14ac:dyDescent="0.25">
      <c r="E17" s="25"/>
      <c r="F17" s="25"/>
      <c r="G17" s="25"/>
      <c r="H17" s="25"/>
      <c r="I17" s="25"/>
    </row>
    <row r="18" spans="5:18" x14ac:dyDescent="0.25">
      <c r="E18" s="25"/>
      <c r="F18" s="25"/>
      <c r="G18" s="25"/>
      <c r="H18" s="25"/>
      <c r="I18" s="25"/>
    </row>
    <row r="27" spans="5:18" ht="23.25" x14ac:dyDescent="0.35">
      <c r="Q27" s="21"/>
    </row>
    <row r="28" spans="5:18" x14ac:dyDescent="0.25">
      <c r="Q28" s="41"/>
      <c r="R28" s="42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D4077-45D5-4679-BC1F-DD5CACC3B22C}">
  <sheetPr>
    <tabColor theme="9" tint="0.39997558519241921"/>
  </sheetPr>
  <dimension ref="A1:AM49"/>
  <sheetViews>
    <sheetView showGridLines="0" zoomScaleNormal="100" workbookViewId="0">
      <selection activeCell="B3" sqref="B3"/>
    </sheetView>
  </sheetViews>
  <sheetFormatPr defaultColWidth="8.7109375" defaultRowHeight="15" x14ac:dyDescent="0.25"/>
  <cols>
    <col min="1" max="1" width="3.42578125" style="54" customWidth="1"/>
    <col min="2" max="2" width="8.7109375" style="54"/>
    <col min="3" max="3" width="35.140625" style="54" customWidth="1"/>
    <col min="4" max="5" width="13" style="54" bestFit="1" customWidth="1"/>
    <col min="6" max="6" width="12.28515625" style="54" bestFit="1" customWidth="1"/>
    <col min="7" max="7" width="13.42578125" style="54" bestFit="1" customWidth="1"/>
    <col min="8" max="8" width="14.140625" style="54" bestFit="1" customWidth="1"/>
    <col min="9" max="9" width="2" style="54" customWidth="1"/>
    <col min="10" max="10" width="14.140625" style="54" bestFit="1" customWidth="1"/>
    <col min="11" max="16384" width="8.7109375" style="54"/>
  </cols>
  <sheetData>
    <row r="1" spans="1:10" x14ac:dyDescent="0.25">
      <c r="A1" s="261"/>
      <c r="B1" s="261"/>
      <c r="D1" s="94"/>
    </row>
    <row r="2" spans="1:10" ht="23.25" x14ac:dyDescent="0.35">
      <c r="B2" s="95" t="s">
        <v>121</v>
      </c>
      <c r="D2" s="94"/>
    </row>
    <row r="3" spans="1:10" x14ac:dyDescent="0.25">
      <c r="B3" s="43" t="s">
        <v>39</v>
      </c>
      <c r="D3" s="94"/>
    </row>
    <row r="4" spans="1:10" x14ac:dyDescent="0.25">
      <c r="A4" s="261"/>
      <c r="B4" s="261"/>
      <c r="D4" s="94"/>
    </row>
    <row r="5" spans="1:10" ht="18.75" x14ac:dyDescent="0.3">
      <c r="B5" s="96" t="s">
        <v>2</v>
      </c>
      <c r="C5" s="97"/>
      <c r="D5" s="97"/>
      <c r="E5" s="97"/>
      <c r="F5" s="97"/>
      <c r="G5" s="97"/>
      <c r="H5" s="97"/>
      <c r="I5" s="97"/>
      <c r="J5" s="98"/>
    </row>
    <row r="6" spans="1:10" ht="30" x14ac:dyDescent="0.25">
      <c r="B6" s="99" t="s">
        <v>3</v>
      </c>
      <c r="C6" s="99" t="s">
        <v>4</v>
      </c>
      <c r="D6" s="99" t="s">
        <v>5</v>
      </c>
      <c r="E6" s="100" t="s">
        <v>6</v>
      </c>
      <c r="F6" s="100" t="s">
        <v>7</v>
      </c>
      <c r="G6" s="100" t="s">
        <v>8</v>
      </c>
      <c r="H6" s="101" t="s">
        <v>9</v>
      </c>
      <c r="I6" s="102"/>
      <c r="J6" s="103" t="s">
        <v>10</v>
      </c>
    </row>
    <row r="7" spans="1:10" ht="14.45" customHeight="1" x14ac:dyDescent="0.25">
      <c r="A7" s="43"/>
      <c r="B7" s="267" t="s">
        <v>11</v>
      </c>
      <c r="C7" s="48" t="s">
        <v>40</v>
      </c>
      <c r="D7" s="52"/>
      <c r="E7" s="52"/>
      <c r="F7" s="52"/>
      <c r="G7" s="179"/>
      <c r="H7" s="52"/>
      <c r="J7" s="68"/>
    </row>
    <row r="8" spans="1:10" x14ac:dyDescent="0.25">
      <c r="B8" s="268"/>
      <c r="C8" s="47"/>
      <c r="D8" s="64"/>
      <c r="E8" s="64"/>
      <c r="F8" s="64"/>
      <c r="G8" s="177"/>
      <c r="H8" s="64"/>
      <c r="J8" s="64">
        <v>0</v>
      </c>
    </row>
    <row r="9" spans="1:10" x14ac:dyDescent="0.25">
      <c r="B9" s="268"/>
      <c r="C9" s="50" t="s">
        <v>43</v>
      </c>
      <c r="D9" s="67">
        <f>SUM(D8)</f>
        <v>0</v>
      </c>
      <c r="E9" s="67">
        <f t="shared" ref="E9:J9" si="0">SUM(E8)</f>
        <v>0</v>
      </c>
      <c r="F9" s="67">
        <f t="shared" si="0"/>
        <v>0</v>
      </c>
      <c r="G9" s="178">
        <f t="shared" si="0"/>
        <v>0</v>
      </c>
      <c r="H9" s="67">
        <f t="shared" si="0"/>
        <v>0</v>
      </c>
      <c r="I9" s="82"/>
      <c r="J9" s="67">
        <f t="shared" si="0"/>
        <v>0</v>
      </c>
    </row>
    <row r="10" spans="1:10" x14ac:dyDescent="0.25">
      <c r="B10" s="268"/>
      <c r="C10" s="51" t="s">
        <v>44</v>
      </c>
      <c r="D10" s="53"/>
      <c r="E10" s="52"/>
      <c r="F10" s="52"/>
      <c r="G10" s="179"/>
      <c r="H10" s="52"/>
      <c r="J10" s="68"/>
    </row>
    <row r="11" spans="1:10" x14ac:dyDescent="0.25">
      <c r="B11" s="268"/>
      <c r="C11" s="52"/>
      <c r="D11" s="53"/>
      <c r="E11" s="52"/>
      <c r="F11" s="52"/>
      <c r="G11" s="179"/>
      <c r="H11" s="52"/>
      <c r="J11" s="64">
        <v>0</v>
      </c>
    </row>
    <row r="12" spans="1:10" x14ac:dyDescent="0.25">
      <c r="B12" s="268"/>
      <c r="C12" s="50" t="s">
        <v>13</v>
      </c>
      <c r="D12" s="67">
        <f>SUM(D11)</f>
        <v>0</v>
      </c>
      <c r="E12" s="67">
        <f t="shared" ref="E12:J12" si="1">SUM(E11)</f>
        <v>0</v>
      </c>
      <c r="F12" s="67">
        <f t="shared" si="1"/>
        <v>0</v>
      </c>
      <c r="G12" s="178">
        <f t="shared" si="1"/>
        <v>0</v>
      </c>
      <c r="H12" s="67">
        <f t="shared" si="1"/>
        <v>0</v>
      </c>
      <c r="I12" s="82"/>
      <c r="J12" s="67">
        <f t="shared" si="1"/>
        <v>0</v>
      </c>
    </row>
    <row r="13" spans="1:10" x14ac:dyDescent="0.25">
      <c r="B13" s="268"/>
      <c r="C13" s="51" t="s">
        <v>46</v>
      </c>
      <c r="D13" s="53"/>
      <c r="E13" s="52"/>
      <c r="F13" s="52"/>
      <c r="G13" s="179"/>
      <c r="H13" s="52"/>
      <c r="J13" s="68"/>
    </row>
    <row r="14" spans="1:10" x14ac:dyDescent="0.25">
      <c r="B14" s="268"/>
      <c r="C14" s="68"/>
      <c r="D14" s="107"/>
      <c r="E14" s="68"/>
      <c r="F14" s="68"/>
      <c r="G14" s="182"/>
      <c r="H14" s="68"/>
      <c r="J14" s="64">
        <v>0</v>
      </c>
    </row>
    <row r="15" spans="1:10" x14ac:dyDescent="0.25">
      <c r="B15" s="268"/>
      <c r="C15" s="50" t="s">
        <v>14</v>
      </c>
      <c r="D15" s="67">
        <f>SUM(D14)</f>
        <v>0</v>
      </c>
      <c r="E15" s="67">
        <f t="shared" ref="E15:J15" si="2">SUM(E14)</f>
        <v>0</v>
      </c>
      <c r="F15" s="67">
        <f t="shared" si="2"/>
        <v>0</v>
      </c>
      <c r="G15" s="178">
        <f t="shared" si="2"/>
        <v>0</v>
      </c>
      <c r="H15" s="67">
        <f t="shared" si="2"/>
        <v>0</v>
      </c>
      <c r="I15" s="82"/>
      <c r="J15" s="67">
        <f t="shared" si="2"/>
        <v>0</v>
      </c>
    </row>
    <row r="16" spans="1:10" x14ac:dyDescent="0.25">
      <c r="B16" s="268"/>
      <c r="C16" s="51" t="s">
        <v>52</v>
      </c>
      <c r="D16" s="53"/>
      <c r="E16" s="52"/>
      <c r="F16" s="52"/>
      <c r="G16" s="179"/>
      <c r="H16" s="52"/>
      <c r="J16" s="53"/>
    </row>
    <row r="17" spans="1:10" x14ac:dyDescent="0.25">
      <c r="B17" s="268"/>
      <c r="C17" s="53" t="s">
        <v>66</v>
      </c>
      <c r="D17" s="53"/>
      <c r="E17" s="52"/>
      <c r="F17" s="52"/>
      <c r="G17" s="179"/>
      <c r="H17" s="52"/>
      <c r="J17" s="64">
        <v>0</v>
      </c>
    </row>
    <row r="18" spans="1:10" x14ac:dyDescent="0.25">
      <c r="B18" s="268"/>
      <c r="C18" s="50" t="s">
        <v>15</v>
      </c>
      <c r="D18" s="69">
        <v>0</v>
      </c>
      <c r="E18" s="69">
        <v>0</v>
      </c>
      <c r="F18" s="69">
        <v>0</v>
      </c>
      <c r="G18" s="180">
        <v>0</v>
      </c>
      <c r="H18" s="188">
        <v>0</v>
      </c>
      <c r="J18" s="67">
        <v>0</v>
      </c>
    </row>
    <row r="19" spans="1:10" x14ac:dyDescent="0.25">
      <c r="B19" s="268"/>
      <c r="C19" s="51" t="s">
        <v>53</v>
      </c>
      <c r="D19" s="53"/>
      <c r="E19" s="52"/>
      <c r="F19" s="52"/>
      <c r="G19" s="179"/>
      <c r="H19" s="52"/>
      <c r="J19" s="53"/>
    </row>
    <row r="20" spans="1:10" x14ac:dyDescent="0.25">
      <c r="B20" s="268"/>
      <c r="C20" s="47"/>
      <c r="D20" s="53"/>
      <c r="E20" s="52"/>
      <c r="F20" s="52"/>
      <c r="G20" s="179"/>
      <c r="H20" s="52"/>
      <c r="J20" s="64">
        <v>0</v>
      </c>
    </row>
    <row r="21" spans="1:10" x14ac:dyDescent="0.25">
      <c r="B21" s="268"/>
      <c r="C21" s="50" t="s">
        <v>16</v>
      </c>
      <c r="D21" s="67">
        <v>0</v>
      </c>
      <c r="E21" s="67">
        <v>0</v>
      </c>
      <c r="F21" s="67">
        <v>0</v>
      </c>
      <c r="G21" s="178">
        <v>0</v>
      </c>
      <c r="H21" s="67">
        <v>0</v>
      </c>
      <c r="J21" s="67">
        <v>0</v>
      </c>
    </row>
    <row r="22" spans="1:10" x14ac:dyDescent="0.25">
      <c r="B22" s="268"/>
      <c r="C22" s="51" t="s">
        <v>54</v>
      </c>
      <c r="D22" s="53"/>
      <c r="E22" s="52"/>
      <c r="F22" s="52"/>
      <c r="G22" s="179"/>
      <c r="H22" s="52"/>
      <c r="J22" s="53"/>
    </row>
    <row r="23" spans="1:10" x14ac:dyDescent="0.25">
      <c r="B23" s="268"/>
      <c r="C23" s="68"/>
      <c r="D23" s="68"/>
      <c r="E23" s="68"/>
      <c r="F23" s="68"/>
      <c r="G23" s="68"/>
      <c r="H23" s="68"/>
      <c r="J23" s="68"/>
    </row>
    <row r="24" spans="1:10" x14ac:dyDescent="0.25">
      <c r="B24" s="268"/>
      <c r="C24" s="50" t="s">
        <v>17</v>
      </c>
      <c r="D24" s="67">
        <f>D23</f>
        <v>0</v>
      </c>
      <c r="E24" s="67">
        <f t="shared" ref="E24:H24" si="3">E23</f>
        <v>0</v>
      </c>
      <c r="F24" s="67">
        <f t="shared" si="3"/>
        <v>0</v>
      </c>
      <c r="G24" s="67">
        <f t="shared" si="3"/>
        <v>0</v>
      </c>
      <c r="H24" s="67">
        <f t="shared" si="3"/>
        <v>0</v>
      </c>
      <c r="I24" s="82"/>
      <c r="J24" s="67">
        <f>J23</f>
        <v>0</v>
      </c>
    </row>
    <row r="25" spans="1:10" x14ac:dyDescent="0.25">
      <c r="B25" s="268"/>
      <c r="C25" s="51" t="s">
        <v>56</v>
      </c>
      <c r="D25" s="53"/>
      <c r="E25" s="52"/>
      <c r="F25" s="52"/>
      <c r="G25" s="179"/>
      <c r="H25" s="52"/>
      <c r="J25" s="53"/>
    </row>
    <row r="26" spans="1:10" ht="90" x14ac:dyDescent="0.25">
      <c r="B26" s="268"/>
      <c r="C26" s="153" t="s">
        <v>127</v>
      </c>
      <c r="D26" s="77">
        <v>6940774</v>
      </c>
      <c r="E26" s="77">
        <v>8273584</v>
      </c>
      <c r="F26" s="152">
        <v>9185674</v>
      </c>
      <c r="G26" s="213">
        <v>10651664</v>
      </c>
      <c r="H26" s="77">
        <v>12142140</v>
      </c>
      <c r="I26" s="212"/>
      <c r="J26" s="77">
        <v>47193836</v>
      </c>
    </row>
    <row r="27" spans="1:10" x14ac:dyDescent="0.25">
      <c r="B27" s="269"/>
      <c r="C27" s="50" t="s">
        <v>57</v>
      </c>
      <c r="D27" s="67">
        <f>D26</f>
        <v>6940774</v>
      </c>
      <c r="E27" s="67">
        <f t="shared" ref="E27:H27" si="4">E26</f>
        <v>8273584</v>
      </c>
      <c r="F27" s="67">
        <f t="shared" si="4"/>
        <v>9185674</v>
      </c>
      <c r="G27" s="67">
        <f t="shared" si="4"/>
        <v>10651664</v>
      </c>
      <c r="H27" s="67">
        <f t="shared" si="4"/>
        <v>12142140</v>
      </c>
      <c r="I27" s="82"/>
      <c r="J27" s="67">
        <f>J26</f>
        <v>47193836</v>
      </c>
    </row>
    <row r="28" spans="1:10" x14ac:dyDescent="0.25">
      <c r="B28" s="243"/>
      <c r="C28" s="50" t="s">
        <v>19</v>
      </c>
      <c r="D28" s="67">
        <f>SUM(D9+D12+D15+D18+D21+D24+D27)</f>
        <v>6940774</v>
      </c>
      <c r="E28" s="67">
        <f t="shared" ref="E28:J28" si="5">SUM(E9+E12+E15+E18+E21+E24+E27)</f>
        <v>8273584</v>
      </c>
      <c r="F28" s="67">
        <f t="shared" si="5"/>
        <v>9185674</v>
      </c>
      <c r="G28" s="178">
        <f t="shared" si="5"/>
        <v>10651664</v>
      </c>
      <c r="H28" s="67">
        <f t="shared" si="5"/>
        <v>12142140</v>
      </c>
      <c r="I28" s="82"/>
      <c r="J28" s="67">
        <f t="shared" si="5"/>
        <v>47193836</v>
      </c>
    </row>
    <row r="29" spans="1:10" x14ac:dyDescent="0.25">
      <c r="A29" s="261"/>
      <c r="B29" s="261"/>
    </row>
    <row r="30" spans="1:10" ht="29.1" customHeight="1" x14ac:dyDescent="0.25">
      <c r="B30" s="267" t="s">
        <v>58</v>
      </c>
      <c r="C30" s="55" t="s">
        <v>58</v>
      </c>
      <c r="D30" s="68"/>
      <c r="E30" s="68"/>
      <c r="F30" s="68"/>
      <c r="G30" s="68"/>
      <c r="H30" s="68"/>
      <c r="J30" s="68"/>
    </row>
    <row r="31" spans="1:10" x14ac:dyDescent="0.25">
      <c r="B31" s="268"/>
      <c r="C31" s="47"/>
      <c r="D31" s="53"/>
      <c r="E31" s="53"/>
      <c r="F31" s="53"/>
      <c r="G31" s="53"/>
      <c r="H31" s="53"/>
      <c r="I31" s="87"/>
      <c r="J31" s="77">
        <v>0</v>
      </c>
    </row>
    <row r="32" spans="1:10" x14ac:dyDescent="0.25">
      <c r="B32" s="269"/>
      <c r="C32" s="50" t="s">
        <v>21</v>
      </c>
      <c r="D32" s="67">
        <f>SUM(D31)</f>
        <v>0</v>
      </c>
      <c r="E32" s="67">
        <f t="shared" ref="E32:J32" si="6">SUM(E31)</f>
        <v>0</v>
      </c>
      <c r="F32" s="67">
        <f t="shared" si="6"/>
        <v>0</v>
      </c>
      <c r="G32" s="67">
        <f t="shared" si="6"/>
        <v>0</v>
      </c>
      <c r="H32" s="67">
        <f t="shared" si="6"/>
        <v>0</v>
      </c>
      <c r="I32" s="82"/>
      <c r="J32" s="67">
        <f t="shared" si="6"/>
        <v>0</v>
      </c>
    </row>
    <row r="33" spans="1:39" ht="15.75" thickBot="1" x14ac:dyDescent="0.3">
      <c r="A33" s="261"/>
      <c r="B33" s="261"/>
    </row>
    <row r="34" spans="1:39" ht="45.75" thickBot="1" x14ac:dyDescent="0.3">
      <c r="A34" s="108"/>
      <c r="B34" s="56" t="s">
        <v>22</v>
      </c>
      <c r="C34" s="56"/>
      <c r="D34" s="70">
        <f>D28+D32</f>
        <v>6940774</v>
      </c>
      <c r="E34" s="70">
        <f t="shared" ref="E34:J34" si="7">E28+E32</f>
        <v>8273584</v>
      </c>
      <c r="F34" s="70">
        <f t="shared" si="7"/>
        <v>9185674</v>
      </c>
      <c r="G34" s="70">
        <f t="shared" si="7"/>
        <v>10651664</v>
      </c>
      <c r="H34" s="91">
        <f t="shared" si="7"/>
        <v>12142140</v>
      </c>
      <c r="I34" s="83"/>
      <c r="J34" s="92">
        <f t="shared" si="7"/>
        <v>47193836</v>
      </c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8"/>
      <c r="AC34" s="108"/>
      <c r="AD34" s="108"/>
      <c r="AE34" s="108"/>
      <c r="AF34" s="108"/>
      <c r="AG34" s="108"/>
      <c r="AH34" s="108"/>
      <c r="AI34" s="108"/>
      <c r="AJ34" s="108"/>
      <c r="AK34" s="108"/>
      <c r="AL34" s="108"/>
      <c r="AM34" s="108"/>
    </row>
    <row r="35" spans="1:39" x14ac:dyDescent="0.25">
      <c r="A35" s="261"/>
      <c r="B35" s="261"/>
      <c r="D35" s="94"/>
    </row>
    <row r="36" spans="1:39" x14ac:dyDescent="0.25">
      <c r="A36" s="261"/>
      <c r="B36" s="261"/>
      <c r="D36" s="94"/>
      <c r="H36" s="168"/>
      <c r="L36" s="168"/>
    </row>
    <row r="37" spans="1:39" x14ac:dyDescent="0.25">
      <c r="A37" s="261"/>
      <c r="B37" s="261"/>
      <c r="D37" s="94"/>
    </row>
    <row r="38" spans="1:39" x14ac:dyDescent="0.25">
      <c r="A38" s="261"/>
      <c r="B38" s="261"/>
      <c r="D38" s="94"/>
    </row>
    <row r="39" spans="1:39" x14ac:dyDescent="0.25">
      <c r="A39" s="261"/>
      <c r="B39" s="261"/>
      <c r="D39" s="94"/>
    </row>
    <row r="40" spans="1:39" x14ac:dyDescent="0.25">
      <c r="A40" s="261"/>
      <c r="B40" s="261"/>
      <c r="D40" s="94"/>
    </row>
    <row r="41" spans="1:39" x14ac:dyDescent="0.25">
      <c r="A41" s="261"/>
      <c r="B41" s="261"/>
      <c r="D41" s="94"/>
    </row>
    <row r="42" spans="1:39" x14ac:dyDescent="0.25">
      <c r="A42" s="261"/>
      <c r="B42" s="261"/>
      <c r="D42" s="94"/>
    </row>
    <row r="43" spans="1:39" x14ac:dyDescent="0.25">
      <c r="A43" s="261"/>
      <c r="B43" s="261"/>
      <c r="D43" s="94"/>
    </row>
    <row r="44" spans="1:39" x14ac:dyDescent="0.25">
      <c r="A44" s="261"/>
      <c r="B44" s="261"/>
      <c r="D44" s="94"/>
    </row>
    <row r="45" spans="1:39" x14ac:dyDescent="0.25">
      <c r="A45" s="261"/>
      <c r="B45" s="261"/>
      <c r="D45" s="94"/>
    </row>
    <row r="46" spans="1:39" x14ac:dyDescent="0.25">
      <c r="A46" s="261"/>
      <c r="B46" s="261"/>
      <c r="D46" s="94"/>
    </row>
    <row r="47" spans="1:39" x14ac:dyDescent="0.25">
      <c r="A47" s="261"/>
      <c r="B47" s="261"/>
      <c r="D47" s="94"/>
    </row>
    <row r="48" spans="1:39" x14ac:dyDescent="0.25">
      <c r="A48" s="261"/>
      <c r="B48" s="261"/>
      <c r="D48" s="94"/>
    </row>
    <row r="49" spans="1:4" x14ac:dyDescent="0.25">
      <c r="A49" s="261"/>
      <c r="B49" s="261"/>
      <c r="D49" s="94"/>
    </row>
  </sheetData>
  <mergeCells count="21">
    <mergeCell ref="A49:B49"/>
    <mergeCell ref="A43:B43"/>
    <mergeCell ref="A44:B44"/>
    <mergeCell ref="A45:B45"/>
    <mergeCell ref="A46:B46"/>
    <mergeCell ref="A47:B47"/>
    <mergeCell ref="A48:B48"/>
    <mergeCell ref="A42:B42"/>
    <mergeCell ref="A1:B1"/>
    <mergeCell ref="A4:B4"/>
    <mergeCell ref="A29:B29"/>
    <mergeCell ref="A33:B33"/>
    <mergeCell ref="A35:B35"/>
    <mergeCell ref="A36:B36"/>
    <mergeCell ref="A37:B37"/>
    <mergeCell ref="A38:B38"/>
    <mergeCell ref="A39:B39"/>
    <mergeCell ref="A40:B40"/>
    <mergeCell ref="A41:B41"/>
    <mergeCell ref="B30:B32"/>
    <mergeCell ref="B7:B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5"/>
  <sheetViews>
    <sheetView showGridLines="0" zoomScaleNormal="100" workbookViewId="0">
      <selection activeCell="K25" sqref="K25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7.140625" style="6" bestFit="1" customWidth="1"/>
    <col min="5" max="5" width="12.85546875" style="2" bestFit="1" customWidth="1"/>
    <col min="6" max="7" width="12.85546875" bestFit="1" customWidth="1"/>
    <col min="8" max="8" width="12.85546875" style="2" bestFit="1" customWidth="1"/>
    <col min="9" max="9" width="1.85546875" style="7" customWidth="1"/>
    <col min="10" max="10" width="16.140625" bestFit="1" customWidth="1"/>
    <col min="11" max="11" width="11.140625" bestFit="1" customWidth="1"/>
  </cols>
  <sheetData>
    <row r="2" spans="2:39" ht="23.25" x14ac:dyDescent="0.35">
      <c r="B2" s="21" t="s">
        <v>0</v>
      </c>
    </row>
    <row r="3" spans="2:39" ht="26.45" customHeight="1" x14ac:dyDescent="0.25">
      <c r="B3" s="256" t="s">
        <v>1</v>
      </c>
      <c r="C3" s="256"/>
      <c r="D3" s="256"/>
      <c r="E3" s="256"/>
      <c r="F3" s="256"/>
      <c r="G3" s="256"/>
      <c r="H3" s="256"/>
      <c r="I3" s="256"/>
      <c r="J3" s="256"/>
    </row>
    <row r="4" spans="2:39" ht="15" customHeight="1" x14ac:dyDescent="0.25">
      <c r="B4" s="5"/>
    </row>
    <row r="5" spans="2:39" ht="18.75" x14ac:dyDescent="0.3">
      <c r="B5" s="34" t="s">
        <v>2</v>
      </c>
      <c r="C5" s="35"/>
      <c r="D5" s="35"/>
      <c r="E5" s="35"/>
      <c r="F5" s="35"/>
      <c r="G5" s="35"/>
      <c r="H5" s="35"/>
      <c r="I5" s="44"/>
      <c r="J5" s="131"/>
    </row>
    <row r="6" spans="2:39" ht="17.100000000000001" customHeight="1" x14ac:dyDescent="0.25">
      <c r="B6" s="36" t="s">
        <v>3</v>
      </c>
      <c r="C6" s="36" t="s">
        <v>4</v>
      </c>
      <c r="D6" s="36" t="s">
        <v>5</v>
      </c>
      <c r="E6" s="37" t="s">
        <v>6</v>
      </c>
      <c r="F6" s="37" t="s">
        <v>7</v>
      </c>
      <c r="G6" s="37" t="s">
        <v>8</v>
      </c>
      <c r="H6" s="40" t="s">
        <v>9</v>
      </c>
      <c r="I6" s="133"/>
      <c r="J6" s="132" t="s">
        <v>10</v>
      </c>
    </row>
    <row r="7" spans="2:39" s="5" customFormat="1" x14ac:dyDescent="0.25">
      <c r="B7" s="15" t="s">
        <v>11</v>
      </c>
      <c r="C7" s="38" t="s">
        <v>12</v>
      </c>
      <c r="D7" s="127">
        <f>'Grant Management'!D14+'Measure 1 Budget'!D13+'Measure 2 Budget'!D9+'Measure 3 Budget'!D20+'Measure 5 Budget'!D11+'Measure 4 Budget'!D11+'Measure 6 Budget'!D9+'Measure 7 Budget'!D9</f>
        <v>441814.15500000003</v>
      </c>
      <c r="E7" s="127">
        <f>'Grant Management'!E14+'Measure 1 Budget'!E13+'Measure 2 Budget'!E9+'Measure 3 Budget'!E20+'Measure 5 Budget'!E11+'Measure 4 Budget'!E11+'Measure 6 Budget'!E9+'Measure 7 Budget'!F9</f>
        <v>410297.01525000005</v>
      </c>
      <c r="F7" s="127">
        <f>'Grant Management'!F14+'Measure 1 Budget'!F13+'Measure 2 Budget'!F9+'Measure 3 Budget'!F20+'Measure 5 Budget'!F11+'Measure 4 Budget'!F11+'Measure 6 Budget'!F9+'Measure 7 Budget'!F9</f>
        <v>438702.27738650003</v>
      </c>
      <c r="G7" s="127">
        <f>'Grant Management'!G14+'Measure 1 Budget'!G13+'Measure 2 Budget'!G9+'Measure 3 Budget'!G20+'Measure 5 Budget'!G11+'Measure 4 Budget'!G11+'Measure 6 Budget'!G9+'Measure 7 Budget'!G9</f>
        <v>456888.050440575</v>
      </c>
      <c r="H7" s="126">
        <f>'Grant Management'!H14+'Measure 1 Budget'!H13+'Measure 2 Budget'!H9+'Measure 3 Budget'!H20+'Measure 5 Budget'!H11+'Measure 4 Budget'!H11+'Measure 6 Budget'!H9+'Measure 7 Budget'!H9</f>
        <v>525954.78868117568</v>
      </c>
      <c r="I7" s="160"/>
      <c r="J7" s="249">
        <f>SUM(D7:H7)</f>
        <v>2273656.2867582506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16"/>
      <c r="C8" s="38" t="s">
        <v>13</v>
      </c>
      <c r="D8" s="127">
        <f>'Grant Management'!D17+'Measure 1 Budget'!D16+'Measure 2 Budget'!D12+'Measure 3 Budget'!D23+'Measure 5 Budget'!D14+'Measure 4 Budget'!D14+'Measure 6 Budget'!D12+'Measure 7 Budget'!D12</f>
        <v>335469.4878915</v>
      </c>
      <c r="E8" s="127">
        <f>'Grant Management'!E17+'Measure 1 Budget'!E16+'Measure 2 Budget'!E12+'Measure 3 Budget'!E23+'Measure 5 Budget'!E14+'Measure 4 Budget'!E14+'Measure 6 Budget'!E12+'Measure 7 Budget'!E12</f>
        <v>311538.52367932501</v>
      </c>
      <c r="F8" s="127">
        <f>'Grant Management'!F17+'Measure 1 Budget'!F16+'Measure 2 Budget'!F12+'Measure 3 Budget'!F23+'Measure 5 Budget'!F14+'Measure 4 Budget'!F14+'Measure 6 Budget'!F12+'Measure 7 Budget'!F12</f>
        <v>333106.63921956945</v>
      </c>
      <c r="G8" s="127">
        <f>'Grant Management'!G17+'Measure 1 Budget'!G16+'Measure 2 Budget'!G12+'Measure 3 Budget'!G23+'Measure 5 Budget'!G14+'Measure 4 Budget'!G14+'Measure 6 Budget'!G12+'Measure 7 Budget'!G12</f>
        <v>346915.09669952857</v>
      </c>
      <c r="H8" s="126">
        <f>'Grant Management'!H17+'Measure 1 Budget'!H16+'Measure 2 Budget'!H12+'Measure 3 Budget'!H23+'Measure 5 Budget'!H14+'Measure 4 Budget'!H14+'Measure 6 Budget'!H12+'Measure 7 Budget'!H12</f>
        <v>399357.47104561666</v>
      </c>
      <c r="I8" s="161"/>
      <c r="J8" s="249">
        <f t="shared" ref="J8:J14" si="0">SUM(D8:H8)</f>
        <v>1726387.2185355397</v>
      </c>
    </row>
    <row r="9" spans="2:39" x14ac:dyDescent="0.25">
      <c r="B9" s="16"/>
      <c r="C9" s="38" t="s">
        <v>14</v>
      </c>
      <c r="D9" s="127">
        <f>'Grant Management'!D24+'Measure 1 Budget'!D19+'Measure 2 Budget'!D15+'Measure 3 Budget'!D26+'Measure 5 Budget'!D18+'Measure 4 Budget'!D17+'Measure 6 Budget'!D15+'Measure 7 Budget'!D15</f>
        <v>4569.5</v>
      </c>
      <c r="E9" s="127">
        <f>'Grant Management'!E24+'Measure 1 Budget'!E19+'Measure 2 Budget'!E15+'Measure 3 Budget'!E26+'Measure 5 Budget'!E18+'Measure 4 Budget'!E17+'Measure 6 Budget'!E15+'Measure 7 Budget'!E15</f>
        <v>4589.5</v>
      </c>
      <c r="F9" s="127">
        <f>'Grant Management'!F24+'Measure 1 Budget'!F19+'Measure 2 Budget'!F15+'Measure 3 Budget'!F26+'Measure 5 Budget'!F18+'Measure 4 Budget'!F17+'Measure 6 Budget'!F15+'Measure 7 Budget'!F15</f>
        <v>4610.5</v>
      </c>
      <c r="G9" s="127">
        <f>'Grant Management'!G24+'Measure 1 Budget'!G19+'Measure 2 Budget'!G15+'Measure 3 Budget'!G26+'Measure 5 Budget'!G18+'Measure 4 Budget'!G17+'Measure 6 Budget'!G15+'Measure 7 Budget'!G15</f>
        <v>4630.5</v>
      </c>
      <c r="H9" s="126">
        <f>'Grant Management'!H24+'Measure 1 Budget'!H19+'Measure 2 Budget'!H15+'Measure 3 Budget'!H26+'Measure 5 Budget'!H18+'Measure 4 Budget'!H17+'Measure 6 Budget'!H15+'Measure 7 Budget'!H15</f>
        <v>4649.7999999999993</v>
      </c>
      <c r="I9" s="161"/>
      <c r="J9" s="249">
        <f>SUM(D9:H9)</f>
        <v>23049.8</v>
      </c>
    </row>
    <row r="10" spans="2:39" x14ac:dyDescent="0.25">
      <c r="B10" s="16"/>
      <c r="C10" s="38" t="s">
        <v>15</v>
      </c>
      <c r="D10" s="127">
        <f>'Grant Management'!D27+'Measure 1 Budget'!D22+'Measure 2 Budget'!D19+'Measure 3 Budget'!D29+'Measure 4 Budget'!D20+'Measure 5 Budget'!D22+'Measure 6 Budget'!D18+'Measure 7 Budget'!D18</f>
        <v>0</v>
      </c>
      <c r="E10" s="127">
        <f>'Grant Management'!E27+'Measure 1 Budget'!E22+'Measure 2 Budget'!E19+'Measure 3 Budget'!E29+'Measure 5 Budget'!E22+'Measure 4 Budget'!E20+'Measure 6 Budget'!E18+'Measure 7 Budget'!E18</f>
        <v>0</v>
      </c>
      <c r="F10" s="127">
        <f>'Grant Management'!F27+'Measure 1 Budget'!F22+'Measure 2 Budget'!F19+'Measure 3 Budget'!F29+'Measure 5 Budget'!F22+'Measure 4 Budget'!F20+'Measure 6 Budget'!F18+'Measure 7 Budget'!F18</f>
        <v>7020000</v>
      </c>
      <c r="G10" s="127">
        <f>'Grant Management'!G27+'Measure 1 Budget'!G22+'Measure 2 Budget'!G19+'Measure 3 Budget'!G29+'Measure 5 Budget'!G22+'Measure 4 Budget'!G20+'Measure 6 Budget'!G18+'Measure 7 Budget'!G18</f>
        <v>0</v>
      </c>
      <c r="H10" s="126">
        <f>'Grant Management'!H27+'Measure 1 Budget'!H22+'Measure 2 Budget'!H19+'Measure 3 Budget'!H29+'Measure 5 Budget'!H22+'Measure 4 Budget'!H20+'Measure 6 Budget'!H18+'Measure 7 Budget'!H18</f>
        <v>0</v>
      </c>
      <c r="I10" s="161"/>
      <c r="J10" s="249">
        <f t="shared" si="0"/>
        <v>7020000</v>
      </c>
    </row>
    <row r="11" spans="2:39" x14ac:dyDescent="0.25">
      <c r="B11" s="16"/>
      <c r="C11" s="38" t="s">
        <v>16</v>
      </c>
      <c r="D11" s="127">
        <f>'Grant Management'!D30+'Measure 1 Budget'!D25+'Measure 2 Budget'!D23+'Measure 3 Budget'!D32+'Measure 4 Budget'!D26+'Measure 5 Budget'!D25+'Measure 6 Budget'!D21+'Measure 7 Budget'!D21</f>
        <v>13770.8</v>
      </c>
      <c r="E11" s="127">
        <f>'Grant Management'!E30+'Measure 1 Budget'!E25+'Measure 2 Budget'!E23+'Measure 3 Budget'!E32+'Measure 4 Budget'!E26+'Measure 5 Budget'!E25+'Measure 6 Budget'!F21+'Measure 7 Budget'!E21</f>
        <v>10920.8</v>
      </c>
      <c r="F11" s="127">
        <f>'Grant Management'!F30+'Measure 1 Budget'!F25+'Measure 2 Budget'!F23+'Measure 3 Budget'!F32+'Measure 4 Budget'!F26+'Measure 5 Budget'!F25+'Measure 6 Budget'!F21+'Measure 7 Budget'!F21</f>
        <v>30920.799999999999</v>
      </c>
      <c r="G11" s="127">
        <f>'Grant Management'!G30+'Measure 1 Budget'!G25+'Measure 2 Budget'!G23+'Measure 3 Budget'!G32+'Measure 4 Budget'!G26+'Measure 5 Budget'!G25+'Measure 6 Budget'!G21+'Measure 7 Budget'!G21</f>
        <v>29169.61</v>
      </c>
      <c r="H11" s="126">
        <f>'Grant Management'!H30+'Measure 1 Budget'!H25+'Measure 2 Budget'!H23+'Measure 3 Budget'!H32+'Measure 4 Budget'!H26+'Measure 5 Budget'!H25+'Measure 6 Budget'!H21+'Measure 7 Budget'!H21</f>
        <v>29169</v>
      </c>
      <c r="I11" s="161"/>
      <c r="J11" s="249">
        <f t="shared" si="0"/>
        <v>113951.01</v>
      </c>
    </row>
    <row r="12" spans="2:39" x14ac:dyDescent="0.25">
      <c r="B12" s="16"/>
      <c r="C12" s="38" t="s">
        <v>17</v>
      </c>
      <c r="D12" s="127">
        <f>'Grant Management'!D33+'Measure 1 Budget'!D29+'Measure 2 Budget'!D26+'Measure 3 Budget'!D35+'Measure 4 Budget'!D29+'Measure 5 Budget'!D30+'Measure 6 Budget'!D24+'Measure 7 Budget'!D24</f>
        <v>1147052</v>
      </c>
      <c r="E12" s="64">
        <f>'Grant Management'!E33+'Measure 1 Budget'!E29+'Measure 2 Budget'!E26+'Measure 3 Budget'!E35+'Measure 4 Budget'!E29+'Measure 5 Budget'!E30+'Measure 6 Budget'!E24+'Measure 7 Budget'!E24</f>
        <v>1239392</v>
      </c>
      <c r="F12" s="127">
        <f>'Grant Management'!F33+'Measure 1 Budget'!F29+'Measure 2 Budget'!F26+'Measure 3 Budget'!F35+'Measure 4 Budget'!F29+'Measure 5 Budget'!F30+'Measure 6 Budget'!F24+'Measure 7 Budget'!F24</f>
        <v>1066784</v>
      </c>
      <c r="G12" s="127">
        <f>'Grant Management'!G33+'Measure 1 Budget'!G29+'Measure 2 Budget'!G26+'Measure 3 Budget'!G35+'Measure 4 Budget'!G29+'Measure 5 Budget'!G30+'Measure 6 Budget'!G24+'Measure 7 Budget'!G24</f>
        <v>902810</v>
      </c>
      <c r="H12" s="126">
        <f>'Grant Management'!H33+'Measure 1 Budget'!H29+'Measure 2 Budget'!H26+'Measure 3 Budget'!H35+'Measure 4 Budget'!H29+'Measure 5 Budget'!H30+'Measure 6 Budget'!H24+'Measure 7 Budget'!H24</f>
        <v>985711</v>
      </c>
      <c r="I12" s="161"/>
      <c r="J12" s="249">
        <f t="shared" si="0"/>
        <v>5341749</v>
      </c>
    </row>
    <row r="13" spans="2:39" x14ac:dyDescent="0.25">
      <c r="B13" s="16"/>
      <c r="C13" s="142" t="s">
        <v>18</v>
      </c>
      <c r="D13" s="127">
        <f>'Grant Management'!D36+'Measure 1 Budget'!D33+'Measure 2 Budget'!D29+'Measure 3 Budget'!D38+'Measure 4 Budget'!D34+'Measure 5 Budget'!D33+'Measure 6 Budget'!D27+'Measure 7 Budget'!D27</f>
        <v>18668820</v>
      </c>
      <c r="E13" s="127">
        <f>'Grant Management'!E36+'Measure 1 Budget'!E33+'Measure 2 Budget'!E29+'Measure 3 Budget'!E38+'Measure 4 Budget'!E34+'Measure 5 Budget'!E33+'Measure 6 Budget'!E27+'Measure 7 Budget'!E27</f>
        <v>26565595.699999999</v>
      </c>
      <c r="F13" s="127">
        <f>'Grant Management'!F36+'Measure 1 Budget'!F33+'Measure 2 Budget'!F29+'Measure 3 Budget'!F38+'Measure 4 Budget'!F34+'Measure 5 Budget'!F33+'Measure 6 Budget'!F27+'Measure 7 Budget'!F27</f>
        <v>40258113.5</v>
      </c>
      <c r="G13" s="127">
        <f>'Grant Management'!G36+'Measure 1 Budget'!G33+'Measure 2 Budget'!G29+'Measure 3 Budget'!G38+'Measure 4 Budget'!G34+'Measure 5 Budget'!G33+'Measure 6 Budget'!G27+'Measure 7 Budget'!G27</f>
        <v>50395927.299999997</v>
      </c>
      <c r="H13" s="126">
        <f>'Grant Management'!H36+'Measure 1 Budget'!H33+'Measure 2 Budget'!H29+'Measure 3 Budget'!H38+'Measure 4 Budget'!H34+'Measure 5 Budget'!H33+'Measure 6 Budget'!H27+'Measure 7 Budget'!H27</f>
        <v>44067843.5</v>
      </c>
      <c r="I13" s="161"/>
      <c r="J13" s="249">
        <f t="shared" si="0"/>
        <v>179956300</v>
      </c>
    </row>
    <row r="14" spans="2:39" x14ac:dyDescent="0.25">
      <c r="B14" s="16"/>
      <c r="C14" s="130" t="s">
        <v>19</v>
      </c>
      <c r="D14" s="162">
        <f>D13+D12+D11+D10+D9+D8+D7</f>
        <v>20611495.942891501</v>
      </c>
      <c r="E14" s="162">
        <f>E13+E12+E11+E10+E9+E8+E7</f>
        <v>28542333.538929325</v>
      </c>
      <c r="F14" s="162">
        <f>F13+F12+F11+F10+F9+F8+F7</f>
        <v>49152237.716606066</v>
      </c>
      <c r="G14" s="162">
        <f>G13+G12+G11+G10+G9+G8+G7</f>
        <v>52136340.557140097</v>
      </c>
      <c r="H14" s="67">
        <f>H13+H12+H11+H10+H9+H8+H7</f>
        <v>46012685.55972679</v>
      </c>
      <c r="I14" s="54"/>
      <c r="J14" s="250">
        <f t="shared" si="0"/>
        <v>196455093.31529379</v>
      </c>
    </row>
    <row r="15" spans="2:39" x14ac:dyDescent="0.25">
      <c r="B15" s="134"/>
      <c r="C15" s="135"/>
      <c r="D15" s="135"/>
      <c r="E15" s="135"/>
      <c r="F15" s="135"/>
      <c r="G15" s="135"/>
      <c r="H15" s="135"/>
      <c r="I15"/>
      <c r="J15" s="251" t="s">
        <v>20</v>
      </c>
    </row>
    <row r="16" spans="2:39" x14ac:dyDescent="0.25">
      <c r="B16" s="16"/>
      <c r="C16" s="136" t="s">
        <v>21</v>
      </c>
      <c r="D16" s="163">
        <f>'Grant Management'!D41+'Measure 1 Budget'!D38+'Measure 2 Budget'!D34+'Measure 3 Budget'!D43+'Measure 5 Budget'!D38+'Measure 4 Budget'!D39+'Measure 6 Budget'!D32+'Measure 7 Budget'!D32</f>
        <v>494620.81344149995</v>
      </c>
      <c r="E16" s="163">
        <f>'Grant Management'!E41+'Measure 1 Budget'!E38+'Measure 2 Budget'!E34+'Measure 3 Budget'!E43+'Measure 5 Budget'!E38+'Measure 4 Budget'!E39+'Measure 6 Budget'!E32+'Measure 7 Budget'!E32</f>
        <v>459024.270548145</v>
      </c>
      <c r="F16" s="163">
        <f>'Grant Management'!F41+'Measure 1 Budget'!F38+'Measure 2 Budget'!F34+'Measure 3 Budget'!F43+'Measure 5 Budget'!F38+'Measure 4 Budget'!F39+'Measure 6 Budget'!F32+'Measure 7 Budget'!F32</f>
        <v>490927.53883098287</v>
      </c>
      <c r="G16" s="163">
        <f>'Grant Management'!G41+'Measure 1 Budget'!G38+'Measure 2 Budget'!G34+'Measure 3 Budget'!G43+'Measure 5 Budget'!G38+'Measure 4 Budget'!G39+'Measure 6 Budget'!G32+'Measure 7 Budget'!G32</f>
        <v>511315.69487705105</v>
      </c>
      <c r="H16" s="118">
        <f>'Grant Management'!H41+'Measure 1 Budget'!H38+'Measure 2 Budget'!H34+'Measure 3 Budget'!H43+'Measure 5 Budget'!H38+'Measure 4 Budget'!H39+'Measure 6 Budget'!H32+'Measure 7 Budget'!H32</f>
        <v>589018.31468675996</v>
      </c>
      <c r="I16" s="164"/>
      <c r="J16" s="252">
        <f>SUM(D16:H16)</f>
        <v>2544906.632384439</v>
      </c>
    </row>
    <row r="17" spans="2:12" ht="15.75" thickBot="1" x14ac:dyDescent="0.3">
      <c r="B17" s="137"/>
      <c r="C17" s="138"/>
      <c r="D17" s="138"/>
      <c r="E17" s="138"/>
      <c r="F17" s="138"/>
      <c r="G17" s="138"/>
      <c r="H17" s="138"/>
      <c r="I17"/>
      <c r="J17" s="251" t="s">
        <v>20</v>
      </c>
      <c r="L17" s="248"/>
    </row>
    <row r="18" spans="2:12" ht="30.95" customHeight="1" thickBot="1" x14ac:dyDescent="0.3">
      <c r="B18" s="13" t="s">
        <v>22</v>
      </c>
      <c r="C18" s="122"/>
      <c r="D18" s="39">
        <f>D14+D16</f>
        <v>21106116.756333001</v>
      </c>
      <c r="E18" s="39">
        <f>E14+E16</f>
        <v>29001357.809477471</v>
      </c>
      <c r="F18" s="39">
        <f>F14+F16</f>
        <v>49643165.255437046</v>
      </c>
      <c r="G18" s="39">
        <f>G14+G16</f>
        <v>52647656.252017148</v>
      </c>
      <c r="H18" s="39">
        <f>H14+H16</f>
        <v>46601703.87441355</v>
      </c>
      <c r="I18" s="139"/>
      <c r="J18" s="253">
        <f>J14+J16</f>
        <v>198999999.94767824</v>
      </c>
      <c r="K18" s="173"/>
    </row>
    <row r="19" spans="2:12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2" ht="15" customHeight="1" x14ac:dyDescent="0.25">
      <c r="B20" s="6"/>
    </row>
    <row r="21" spans="2:12" ht="15" customHeight="1" x14ac:dyDescent="0.3">
      <c r="B21" s="34" t="s">
        <v>23</v>
      </c>
      <c r="C21" s="35"/>
      <c r="D21" s="35"/>
      <c r="E21" s="259"/>
      <c r="F21" s="259"/>
      <c r="H21"/>
      <c r="I21"/>
    </row>
    <row r="22" spans="2:12" ht="29.1" customHeight="1" x14ac:dyDescent="0.25">
      <c r="B22" s="36" t="s">
        <v>24</v>
      </c>
      <c r="C22" s="36" t="s">
        <v>25</v>
      </c>
      <c r="D22" s="40" t="s">
        <v>26</v>
      </c>
      <c r="E22" s="260" t="s">
        <v>27</v>
      </c>
      <c r="F22" s="260"/>
      <c r="H22"/>
      <c r="I22"/>
    </row>
    <row r="23" spans="2:12" ht="15" customHeight="1" x14ac:dyDescent="0.25">
      <c r="B23" s="75" t="s">
        <v>28</v>
      </c>
      <c r="C23" s="124" t="s">
        <v>29</v>
      </c>
      <c r="D23" s="156">
        <f>'Grant Management'!J43</f>
        <v>930631.85053004255</v>
      </c>
      <c r="E23" s="276">
        <f>D23/D31</f>
        <v>4.6765419636920977E-3</v>
      </c>
      <c r="F23" s="277"/>
      <c r="H23"/>
      <c r="I23"/>
    </row>
    <row r="24" spans="2:12" ht="30" x14ac:dyDescent="0.25">
      <c r="B24" s="129">
        <v>1</v>
      </c>
      <c r="C24" s="125" t="s">
        <v>30</v>
      </c>
      <c r="D24" s="126">
        <f>'Measure 1 Budget'!J40</f>
        <v>24999999.687220171</v>
      </c>
      <c r="E24" s="257">
        <f>D24/D31</f>
        <v>0.12562813916479024</v>
      </c>
      <c r="F24" s="258"/>
      <c r="H24"/>
      <c r="I24"/>
    </row>
    <row r="25" spans="2:12" ht="45" x14ac:dyDescent="0.25">
      <c r="B25" s="129">
        <v>2</v>
      </c>
      <c r="C25" s="127" t="s">
        <v>31</v>
      </c>
      <c r="D25" s="126">
        <f>'Measure 2 Budget'!J36</f>
        <v>11441996</v>
      </c>
      <c r="E25" s="257">
        <f>D25/D31</f>
        <v>5.7497467351800849E-2</v>
      </c>
      <c r="F25" s="258"/>
      <c r="H25" s="157"/>
      <c r="I25" s="158"/>
    </row>
    <row r="26" spans="2:12" ht="30" x14ac:dyDescent="0.25">
      <c r="B26" s="129">
        <v>3</v>
      </c>
      <c r="C26" s="127" t="s">
        <v>32</v>
      </c>
      <c r="D26" s="126">
        <f>'Measure 3 Budget'!J45</f>
        <v>41296927.733130798</v>
      </c>
      <c r="E26" s="257">
        <f>D26/D31</f>
        <v>0.2075222499697926</v>
      </c>
      <c r="F26" s="258"/>
      <c r="H26" s="157"/>
      <c r="I26" s="158"/>
    </row>
    <row r="27" spans="2:12" ht="30" x14ac:dyDescent="0.25">
      <c r="B27" s="129">
        <v>4</v>
      </c>
      <c r="C27" s="127" t="s">
        <v>33</v>
      </c>
      <c r="D27" s="126">
        <f>'Measure 4 Budget'!J41</f>
        <v>21783157.487199999</v>
      </c>
      <c r="E27" s="257">
        <f>D27/D31</f>
        <v>0.10946310297953418</v>
      </c>
      <c r="F27" s="258"/>
      <c r="H27" s="157"/>
      <c r="I27" s="158"/>
    </row>
    <row r="28" spans="2:12" x14ac:dyDescent="0.25">
      <c r="B28" s="129">
        <v>5</v>
      </c>
      <c r="C28" s="215" t="s">
        <v>34</v>
      </c>
      <c r="D28" s="126">
        <f>'Measure 5 Budget'!J40</f>
        <v>15354049.189597217</v>
      </c>
      <c r="E28" s="257">
        <f>D28/D31</f>
        <v>7.7156026098664107E-2</v>
      </c>
      <c r="F28" s="258"/>
      <c r="H28" s="157"/>
      <c r="I28" s="158"/>
    </row>
    <row r="29" spans="2:12" ht="30" x14ac:dyDescent="0.25">
      <c r="B29" s="129">
        <v>6</v>
      </c>
      <c r="C29" s="127" t="s">
        <v>35</v>
      </c>
      <c r="D29" s="126">
        <f>'Measure 6 Budget'!J34</f>
        <v>35999402</v>
      </c>
      <c r="E29" s="257">
        <f>D29/D31</f>
        <v>0.18090151763550294</v>
      </c>
      <c r="F29" s="258"/>
      <c r="H29" s="157"/>
      <c r="I29" s="158"/>
    </row>
    <row r="30" spans="2:12" ht="30" x14ac:dyDescent="0.25">
      <c r="B30" s="129">
        <v>7</v>
      </c>
      <c r="C30" s="127" t="s">
        <v>36</v>
      </c>
      <c r="D30" s="126">
        <f>'Measure 7 Budget'!J34</f>
        <v>47193836</v>
      </c>
      <c r="E30" s="257">
        <f>D30/D31</f>
        <v>0.23715495483622295</v>
      </c>
      <c r="F30" s="258"/>
      <c r="H30" s="157"/>
      <c r="I30" s="158"/>
    </row>
    <row r="31" spans="2:12" ht="15" customHeight="1" x14ac:dyDescent="0.25">
      <c r="B31" s="129" t="s">
        <v>37</v>
      </c>
      <c r="C31" s="127"/>
      <c r="D31" s="167">
        <f>SUM(D23:D30)</f>
        <v>198999999.94767824</v>
      </c>
      <c r="E31" s="257">
        <f>SUM(E23:F30)</f>
        <v>1</v>
      </c>
      <c r="F31" s="258"/>
      <c r="H31" s="157"/>
      <c r="I31" s="158"/>
    </row>
    <row r="32" spans="2:12" ht="15" customHeight="1" x14ac:dyDescent="0.25">
      <c r="H32" s="157"/>
      <c r="I32" s="158"/>
    </row>
    <row r="33" spans="8:10" ht="15" customHeight="1" x14ac:dyDescent="0.25">
      <c r="H33" s="157"/>
      <c r="I33" s="159"/>
    </row>
    <row r="35" spans="8:10" ht="15" customHeight="1" x14ac:dyDescent="0.25">
      <c r="J35" s="25"/>
    </row>
  </sheetData>
  <mergeCells count="12">
    <mergeCell ref="B3:J3"/>
    <mergeCell ref="E28:F28"/>
    <mergeCell ref="E30:F30"/>
    <mergeCell ref="E31:F31"/>
    <mergeCell ref="E21:F21"/>
    <mergeCell ref="E22:F22"/>
    <mergeCell ref="E24:F24"/>
    <mergeCell ref="E25:F25"/>
    <mergeCell ref="E26:F26"/>
    <mergeCell ref="E27:F27"/>
    <mergeCell ref="E29:F29"/>
    <mergeCell ref="E23:F23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C2283-87B7-426B-8959-7448FA52F9DA}">
  <sheetPr>
    <tabColor theme="9" tint="0.39997558519241921"/>
  </sheetPr>
  <dimension ref="B2:AM58"/>
  <sheetViews>
    <sheetView showGridLines="0" topLeftCell="A14" zoomScaleNormal="100" workbookViewId="0">
      <selection activeCell="D13" sqref="D13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1.5703125" bestFit="1" customWidth="1"/>
    <col min="12" max="12" width="14.140625" bestFit="1" customWidth="1"/>
    <col min="13" max="13" width="11.5703125" bestFit="1" customWidth="1"/>
  </cols>
  <sheetData>
    <row r="2" spans="2:39" ht="23.25" x14ac:dyDescent="0.35">
      <c r="B2" s="21" t="s">
        <v>38</v>
      </c>
      <c r="I2" s="275"/>
      <c r="J2" s="273"/>
      <c r="K2" s="273"/>
      <c r="L2" s="273"/>
      <c r="M2" s="273"/>
      <c r="N2" s="273"/>
      <c r="O2" s="273"/>
      <c r="P2" s="273"/>
    </row>
    <row r="3" spans="2:39" x14ac:dyDescent="0.25">
      <c r="B3" s="5" t="s">
        <v>39</v>
      </c>
    </row>
    <row r="4" spans="2:39" x14ac:dyDescent="0.25">
      <c r="B4" s="5"/>
    </row>
    <row r="5" spans="2:39" ht="18.75" x14ac:dyDescent="0.3">
      <c r="B5" s="26" t="s">
        <v>2</v>
      </c>
      <c r="C5" s="27"/>
      <c r="D5" s="27"/>
      <c r="E5" s="27"/>
      <c r="F5" s="27"/>
      <c r="G5" s="27"/>
      <c r="H5" s="27"/>
      <c r="I5" s="27"/>
      <c r="J5" s="28"/>
      <c r="L5" s="46"/>
    </row>
    <row r="6" spans="2:39" ht="30" x14ac:dyDescent="0.25">
      <c r="B6" s="29" t="s">
        <v>3</v>
      </c>
      <c r="C6" s="57" t="s">
        <v>4</v>
      </c>
      <c r="D6" s="29" t="s">
        <v>5</v>
      </c>
      <c r="E6" s="30" t="s">
        <v>6</v>
      </c>
      <c r="F6" s="30" t="s">
        <v>7</v>
      </c>
      <c r="G6" s="30" t="s">
        <v>8</v>
      </c>
      <c r="H6" s="31" t="s">
        <v>9</v>
      </c>
      <c r="I6" s="32"/>
      <c r="J6" s="33" t="s">
        <v>10</v>
      </c>
    </row>
    <row r="7" spans="2:39" s="5" customFormat="1" ht="30" x14ac:dyDescent="0.25">
      <c r="B7" s="45" t="s">
        <v>11</v>
      </c>
      <c r="C7" s="58" t="s">
        <v>40</v>
      </c>
      <c r="D7" s="10" t="s">
        <v>41</v>
      </c>
      <c r="E7" s="10" t="s">
        <v>41</v>
      </c>
      <c r="F7" s="10" t="s">
        <v>41</v>
      </c>
      <c r="G7" s="10"/>
      <c r="H7" s="10" t="s">
        <v>41</v>
      </c>
      <c r="I7" s="7"/>
      <c r="J7" s="8" t="s">
        <v>41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60" x14ac:dyDescent="0.25">
      <c r="B8" s="16"/>
      <c r="C8" s="71" t="s">
        <v>42</v>
      </c>
      <c r="D8" s="64">
        <v>7500</v>
      </c>
      <c r="E8" s="64">
        <v>6562</v>
      </c>
      <c r="F8" s="64">
        <v>6000</v>
      </c>
      <c r="G8" s="64">
        <v>6500</v>
      </c>
      <c r="H8" s="64">
        <v>7500</v>
      </c>
      <c r="I8" s="65"/>
      <c r="J8" s="64">
        <f>SUM(D8:H8)</f>
        <v>34062</v>
      </c>
      <c r="L8" s="165"/>
      <c r="M8" s="278"/>
      <c r="N8" s="279"/>
      <c r="O8" s="279"/>
      <c r="P8" s="279"/>
      <c r="Q8" s="279"/>
      <c r="R8" s="279"/>
      <c r="S8" s="279"/>
      <c r="T8" s="279"/>
      <c r="U8" s="279"/>
      <c r="V8" s="279"/>
    </row>
    <row r="9" spans="2:39" ht="60" x14ac:dyDescent="0.25">
      <c r="B9" s="16"/>
      <c r="C9" s="72" t="s">
        <v>125</v>
      </c>
      <c r="D9" s="64">
        <v>15000</v>
      </c>
      <c r="E9" s="64">
        <v>9500</v>
      </c>
      <c r="F9" s="64">
        <v>9500</v>
      </c>
      <c r="G9" s="64">
        <v>9868</v>
      </c>
      <c r="H9" s="64">
        <v>15000</v>
      </c>
      <c r="I9" s="54"/>
      <c r="J9" s="64">
        <f>SUM(D9:H9)</f>
        <v>58868</v>
      </c>
      <c r="K9" s="46"/>
      <c r="L9" s="46"/>
      <c r="M9" s="280"/>
      <c r="N9" s="281"/>
      <c r="O9" s="279"/>
      <c r="P9" s="279"/>
      <c r="Q9" s="279"/>
      <c r="R9" s="279"/>
      <c r="S9" s="279"/>
      <c r="T9" s="279"/>
      <c r="U9" s="279"/>
      <c r="V9" s="279"/>
    </row>
    <row r="10" spans="2:39" ht="60" x14ac:dyDescent="0.25">
      <c r="B10" s="16"/>
      <c r="C10" s="72" t="s">
        <v>124</v>
      </c>
      <c r="D10" s="64">
        <v>10000</v>
      </c>
      <c r="E10" s="64">
        <v>10000</v>
      </c>
      <c r="F10" s="64">
        <v>9092</v>
      </c>
      <c r="G10" s="64">
        <v>10000</v>
      </c>
      <c r="H10" s="64">
        <v>10000</v>
      </c>
      <c r="I10" s="54"/>
      <c r="J10" s="64">
        <f>SUM(D10:H10)</f>
        <v>49092</v>
      </c>
      <c r="K10" s="165"/>
      <c r="L10" s="25"/>
      <c r="M10" s="280"/>
      <c r="N10" s="282"/>
      <c r="O10" s="282"/>
      <c r="P10" s="282"/>
      <c r="Q10" s="282"/>
      <c r="R10" s="282"/>
      <c r="S10" s="283"/>
      <c r="T10" s="282"/>
      <c r="U10" s="279"/>
      <c r="V10" s="279"/>
    </row>
    <row r="11" spans="2:39" ht="60" x14ac:dyDescent="0.25">
      <c r="B11" s="16"/>
      <c r="C11" s="72" t="s">
        <v>122</v>
      </c>
      <c r="D11" s="64">
        <f>110882*0.07</f>
        <v>7761.7400000000007</v>
      </c>
      <c r="E11" s="64">
        <f>110882*0.025</f>
        <v>2772.05</v>
      </c>
      <c r="F11" s="64">
        <f>E11*1.03</f>
        <v>2855.2115000000003</v>
      </c>
      <c r="G11" s="64">
        <f>F11*1.03</f>
        <v>2940.8678450000002</v>
      </c>
      <c r="H11" s="64">
        <v>8693</v>
      </c>
      <c r="I11" s="54"/>
      <c r="J11" s="64">
        <f>SUM(D11:H11)</f>
        <v>25022.869345000003</v>
      </c>
      <c r="L11" s="46"/>
      <c r="M11" s="280"/>
      <c r="N11" s="279"/>
      <c r="O11" s="279"/>
      <c r="P11" s="279"/>
      <c r="Q11" s="279"/>
      <c r="R11" s="279"/>
      <c r="S11" s="279"/>
      <c r="T11" s="279"/>
      <c r="U11" s="279"/>
      <c r="V11" s="279"/>
    </row>
    <row r="12" spans="2:39" ht="60" x14ac:dyDescent="0.25">
      <c r="B12" s="16"/>
      <c r="C12" s="72" t="s">
        <v>123</v>
      </c>
      <c r="D12" s="64">
        <f>86778*0.1</f>
        <v>8677.8000000000011</v>
      </c>
      <c r="E12" s="64">
        <v>2169</v>
      </c>
      <c r="F12" s="64">
        <f>E12*1.03</f>
        <v>2234.0700000000002</v>
      </c>
      <c r="G12" s="64">
        <f>F12*1.03</f>
        <v>2301.0921000000003</v>
      </c>
      <c r="H12" s="64">
        <v>9719</v>
      </c>
      <c r="I12" s="54"/>
      <c r="J12" s="64">
        <f t="shared" ref="J12" si="0">SUM(D12:H12)</f>
        <v>25100.962100000001</v>
      </c>
      <c r="L12" s="165"/>
      <c r="M12" s="165"/>
    </row>
    <row r="13" spans="2:39" ht="45" x14ac:dyDescent="0.25">
      <c r="B13" s="16"/>
      <c r="C13" s="72" t="s">
        <v>126</v>
      </c>
      <c r="D13" s="64">
        <f>128315*0.095</f>
        <v>12189.924999999999</v>
      </c>
      <c r="E13" s="64">
        <f>D13*1.03</f>
        <v>12555.62275</v>
      </c>
      <c r="F13" s="64">
        <f>E13*1.03</f>
        <v>12932.2914325</v>
      </c>
      <c r="G13" s="64">
        <f>F13*1.03</f>
        <v>13320.260175475001</v>
      </c>
      <c r="H13" s="64">
        <f>G13*1.03</f>
        <v>13719.867980739251</v>
      </c>
      <c r="I13" s="54"/>
      <c r="J13" s="64">
        <f>SUM(D13:H13)</f>
        <v>64717.967338714254</v>
      </c>
      <c r="L13" s="165"/>
      <c r="M13" s="165"/>
    </row>
    <row r="14" spans="2:39" x14ac:dyDescent="0.25">
      <c r="B14" s="16"/>
      <c r="C14" s="59" t="s">
        <v>43</v>
      </c>
      <c r="D14" s="67">
        <f>SUM(D8:D13)</f>
        <v>61129.464999999997</v>
      </c>
      <c r="E14" s="67">
        <f>SUM(E8:E13)</f>
        <v>43558.672749999998</v>
      </c>
      <c r="F14" s="67">
        <f>SUM(F8:F13)</f>
        <v>42613.572932499999</v>
      </c>
      <c r="G14" s="67">
        <f>SUM(G8:G13)</f>
        <v>44930.220120475002</v>
      </c>
      <c r="H14" s="67">
        <f>SUM(H8:H13)</f>
        <v>64631.867980739247</v>
      </c>
      <c r="I14" s="54"/>
      <c r="J14" s="78">
        <f>SUM(J8:J13)</f>
        <v>256863.79878371427</v>
      </c>
      <c r="L14" s="25"/>
    </row>
    <row r="15" spans="2:39" x14ac:dyDescent="0.25">
      <c r="B15" s="16"/>
      <c r="C15" s="60" t="s">
        <v>44</v>
      </c>
      <c r="D15" s="53" t="s">
        <v>41</v>
      </c>
      <c r="E15" s="52"/>
      <c r="F15" s="52"/>
      <c r="G15" s="52"/>
      <c r="H15" s="52"/>
      <c r="I15" s="54"/>
      <c r="J15" s="68" t="s">
        <v>41</v>
      </c>
    </row>
    <row r="16" spans="2:39" ht="30" x14ac:dyDescent="0.25">
      <c r="B16" s="16"/>
      <c r="C16" s="72" t="s">
        <v>45</v>
      </c>
      <c r="D16" s="64">
        <f>D14*0.7593</f>
        <v>46415.602774499996</v>
      </c>
      <c r="E16" s="64">
        <f t="shared" ref="E16:I16" si="1">E14*0.7593</f>
        <v>33074.100219075</v>
      </c>
      <c r="F16" s="64">
        <f t="shared" si="1"/>
        <v>32356.485927647249</v>
      </c>
      <c r="G16" s="64">
        <f t="shared" si="1"/>
        <v>34115.516137476669</v>
      </c>
      <c r="H16" s="64">
        <f t="shared" si="1"/>
        <v>49074.977357775308</v>
      </c>
      <c r="I16" s="64">
        <f t="shared" si="1"/>
        <v>0</v>
      </c>
      <c r="J16" s="64">
        <f>J14*0.7593</f>
        <v>195036.68241647424</v>
      </c>
    </row>
    <row r="17" spans="2:19" x14ac:dyDescent="0.25">
      <c r="B17" s="16"/>
      <c r="C17" s="59" t="s">
        <v>13</v>
      </c>
      <c r="D17" s="67">
        <f>SUM(D16:D16)</f>
        <v>46415.602774499996</v>
      </c>
      <c r="E17" s="67">
        <f>SUM(E16:E16)</f>
        <v>33074.100219075</v>
      </c>
      <c r="F17" s="67">
        <f>SUM(F16:F16)</f>
        <v>32356.485927647249</v>
      </c>
      <c r="G17" s="67">
        <f>SUM(G16:G16)</f>
        <v>34115.516137476669</v>
      </c>
      <c r="H17" s="67">
        <f>SUM(H16:H16)</f>
        <v>49074.977357775308</v>
      </c>
      <c r="I17" s="54"/>
      <c r="J17" s="67">
        <f>SUM(J16:J16)</f>
        <v>195036.68241647424</v>
      </c>
    </row>
    <row r="18" spans="2:19" x14ac:dyDescent="0.25">
      <c r="B18" s="16"/>
      <c r="C18" s="60" t="s">
        <v>46</v>
      </c>
      <c r="D18" s="53" t="s">
        <v>41</v>
      </c>
      <c r="E18" s="52"/>
      <c r="F18" s="52"/>
      <c r="G18" s="52"/>
      <c r="H18" s="52"/>
      <c r="I18" s="54"/>
      <c r="J18" s="68" t="s">
        <v>41</v>
      </c>
    </row>
    <row r="19" spans="2:19" ht="30" x14ac:dyDescent="0.25">
      <c r="B19" s="16"/>
      <c r="C19" s="71" t="s">
        <v>47</v>
      </c>
      <c r="D19" s="64"/>
      <c r="E19" s="66"/>
      <c r="F19" s="66"/>
      <c r="G19" s="66"/>
      <c r="H19" s="66"/>
      <c r="I19" s="54"/>
      <c r="J19" s="64"/>
      <c r="S19" s="165"/>
    </row>
    <row r="20" spans="2:19" ht="30" x14ac:dyDescent="0.25">
      <c r="B20" s="16"/>
      <c r="C20" s="47" t="s">
        <v>48</v>
      </c>
      <c r="D20" s="73">
        <v>800</v>
      </c>
      <c r="E20" s="73">
        <v>800</v>
      </c>
      <c r="F20" s="73">
        <v>800</v>
      </c>
      <c r="G20" s="73">
        <v>800</v>
      </c>
      <c r="H20" s="73">
        <v>800</v>
      </c>
      <c r="I20" s="65"/>
      <c r="J20" s="64">
        <f>SUM(D20:H20)</f>
        <v>4000</v>
      </c>
    </row>
    <row r="21" spans="2:19" ht="30" x14ac:dyDescent="0.25">
      <c r="B21" s="16"/>
      <c r="C21" s="140" t="s">
        <v>49</v>
      </c>
      <c r="D21" s="64">
        <v>1200</v>
      </c>
      <c r="E21" s="64">
        <v>1200</v>
      </c>
      <c r="F21" s="64">
        <v>1200</v>
      </c>
      <c r="G21" s="64">
        <v>1200</v>
      </c>
      <c r="H21" s="64">
        <v>1200</v>
      </c>
      <c r="I21" s="65"/>
      <c r="J21" s="64">
        <f t="shared" ref="J21:J24" si="2">SUM(D21:H21)</f>
        <v>6000</v>
      </c>
    </row>
    <row r="22" spans="2:19" ht="30" x14ac:dyDescent="0.25">
      <c r="B22" s="16"/>
      <c r="C22" s="47" t="s">
        <v>50</v>
      </c>
      <c r="D22" s="64">
        <f>75*7</f>
        <v>525</v>
      </c>
      <c r="E22" s="64">
        <f t="shared" ref="E22:G22" si="3">75*7</f>
        <v>525</v>
      </c>
      <c r="F22" s="64">
        <f t="shared" si="3"/>
        <v>525</v>
      </c>
      <c r="G22" s="64">
        <f t="shared" si="3"/>
        <v>525</v>
      </c>
      <c r="H22" s="64">
        <v>524.6</v>
      </c>
      <c r="I22" s="65"/>
      <c r="J22" s="64">
        <f t="shared" si="2"/>
        <v>2624.6</v>
      </c>
      <c r="M22" s="25"/>
    </row>
    <row r="23" spans="2:19" ht="45" x14ac:dyDescent="0.25">
      <c r="B23" s="16"/>
      <c r="C23" s="140" t="s">
        <v>51</v>
      </c>
      <c r="D23" s="64">
        <f>50*7</f>
        <v>350</v>
      </c>
      <c r="E23" s="64">
        <f t="shared" ref="E23:G23" si="4">50*7</f>
        <v>350</v>
      </c>
      <c r="F23" s="64">
        <f t="shared" si="4"/>
        <v>350</v>
      </c>
      <c r="G23" s="64">
        <f t="shared" si="4"/>
        <v>350</v>
      </c>
      <c r="H23" s="64">
        <v>349.7</v>
      </c>
      <c r="I23" s="65"/>
      <c r="J23" s="64">
        <f t="shared" si="2"/>
        <v>1749.7</v>
      </c>
    </row>
    <row r="24" spans="2:19" x14ac:dyDescent="0.25">
      <c r="B24" s="16"/>
      <c r="C24" s="59" t="s">
        <v>14</v>
      </c>
      <c r="D24" s="67">
        <f>SUM(D20:D23)</f>
        <v>2875</v>
      </c>
      <c r="E24" s="67">
        <f t="shared" ref="E24:H24" si="5">SUM(E20:E23)</f>
        <v>2875</v>
      </c>
      <c r="F24" s="67">
        <f t="shared" si="5"/>
        <v>2875</v>
      </c>
      <c r="G24" s="67">
        <f t="shared" si="5"/>
        <v>2875</v>
      </c>
      <c r="H24" s="67">
        <f t="shared" si="5"/>
        <v>2874.2999999999997</v>
      </c>
      <c r="I24" s="54"/>
      <c r="J24" s="254">
        <f t="shared" si="2"/>
        <v>14374.3</v>
      </c>
      <c r="M24" s="25"/>
    </row>
    <row r="25" spans="2:19" x14ac:dyDescent="0.25">
      <c r="B25" s="16"/>
      <c r="C25" s="60" t="s">
        <v>52</v>
      </c>
      <c r="D25" s="64"/>
      <c r="E25" s="52"/>
      <c r="F25" s="52"/>
      <c r="G25" s="52"/>
      <c r="H25" s="52"/>
      <c r="I25" s="54"/>
      <c r="J25" s="64" t="s">
        <v>20</v>
      </c>
    </row>
    <row r="26" spans="2:19" x14ac:dyDescent="0.25">
      <c r="B26" s="16"/>
      <c r="C26" s="47"/>
      <c r="D26" s="64"/>
      <c r="E26" s="52"/>
      <c r="F26" s="52"/>
      <c r="G26" s="52"/>
      <c r="H26" s="52"/>
      <c r="I26" s="54"/>
      <c r="J26" s="64">
        <f>SUM(D26:H26)</f>
        <v>0</v>
      </c>
    </row>
    <row r="27" spans="2:19" x14ac:dyDescent="0.25">
      <c r="B27" s="16"/>
      <c r="C27" s="59" t="s">
        <v>15</v>
      </c>
      <c r="D27" s="69">
        <f>SUM(D26:D26)</f>
        <v>0</v>
      </c>
      <c r="E27" s="69">
        <f>SUM(E26:E26)</f>
        <v>0</v>
      </c>
      <c r="F27" s="69">
        <f>SUM(F26:F26)</f>
        <v>0</v>
      </c>
      <c r="G27" s="69">
        <f>SUM(G26:G26)</f>
        <v>0</v>
      </c>
      <c r="H27" s="69">
        <f>SUM(H26:H26)</f>
        <v>0</v>
      </c>
      <c r="I27" s="54"/>
      <c r="J27" s="67">
        <f>SUM(J26:J26)</f>
        <v>0</v>
      </c>
    </row>
    <row r="28" spans="2:19" x14ac:dyDescent="0.25">
      <c r="B28" s="16"/>
      <c r="C28" s="60" t="s">
        <v>53</v>
      </c>
      <c r="D28" s="53" t="s">
        <v>41</v>
      </c>
      <c r="E28" s="52"/>
      <c r="F28" s="52"/>
      <c r="G28" s="52"/>
      <c r="H28" s="52"/>
      <c r="I28" s="54"/>
      <c r="J28" s="64"/>
    </row>
    <row r="29" spans="2:19" x14ac:dyDescent="0.25">
      <c r="B29" s="16"/>
      <c r="C29" s="47"/>
      <c r="D29" s="64"/>
      <c r="E29" s="64"/>
      <c r="F29" s="64"/>
      <c r="G29" s="64"/>
      <c r="H29" s="64"/>
      <c r="I29" s="65"/>
      <c r="J29" s="64">
        <f t="shared" ref="J29:J36" si="6">SUM(D29:H29)</f>
        <v>0</v>
      </c>
    </row>
    <row r="30" spans="2:19" x14ac:dyDescent="0.25">
      <c r="B30" s="16"/>
      <c r="C30" s="59" t="s">
        <v>16</v>
      </c>
      <c r="D30" s="67">
        <f>SUM(D29:D29)</f>
        <v>0</v>
      </c>
      <c r="E30" s="67">
        <f>SUM(E29:E29)</f>
        <v>0</v>
      </c>
      <c r="F30" s="67">
        <f>SUM(F29:F29)</f>
        <v>0</v>
      </c>
      <c r="G30" s="67">
        <f>SUM(G29:G29)</f>
        <v>0</v>
      </c>
      <c r="H30" s="67">
        <f>SUM(H29:H29)</f>
        <v>0</v>
      </c>
      <c r="I30" s="54"/>
      <c r="J30" s="67">
        <f>SUM(J29:J29)</f>
        <v>0</v>
      </c>
    </row>
    <row r="31" spans="2:19" x14ac:dyDescent="0.25">
      <c r="B31" s="16"/>
      <c r="C31" s="60" t="s">
        <v>54</v>
      </c>
      <c r="D31" s="53" t="s">
        <v>41</v>
      </c>
      <c r="E31" s="52"/>
      <c r="F31" s="52"/>
      <c r="G31" s="52"/>
      <c r="H31" s="52"/>
      <c r="I31" s="54"/>
      <c r="J31" s="64"/>
    </row>
    <row r="32" spans="2:19" ht="93.95" customHeight="1" x14ac:dyDescent="0.25">
      <c r="B32" s="16"/>
      <c r="C32" s="71" t="s">
        <v>55</v>
      </c>
      <c r="D32" s="64">
        <v>0</v>
      </c>
      <c r="E32" s="64">
        <v>75000</v>
      </c>
      <c r="F32" s="64">
        <v>0</v>
      </c>
      <c r="G32" s="64">
        <v>0</v>
      </c>
      <c r="H32" s="64">
        <v>100000</v>
      </c>
      <c r="I32" s="65"/>
      <c r="J32" s="64">
        <f t="shared" si="6"/>
        <v>175000</v>
      </c>
    </row>
    <row r="33" spans="2:12" x14ac:dyDescent="0.25">
      <c r="B33" s="16"/>
      <c r="C33" s="59" t="s">
        <v>17</v>
      </c>
      <c r="D33" s="67">
        <f>SUM(D32:D32)</f>
        <v>0</v>
      </c>
      <c r="E33" s="67">
        <f>SUM(E32:E32)</f>
        <v>75000</v>
      </c>
      <c r="F33" s="67">
        <f>SUM(F32:F32)</f>
        <v>0</v>
      </c>
      <c r="G33" s="67">
        <f>SUM(G32:G32)</f>
        <v>0</v>
      </c>
      <c r="H33" s="67">
        <f>SUM(H32:H32)</f>
        <v>100000</v>
      </c>
      <c r="I33" s="54"/>
      <c r="J33" s="67">
        <f>SUM(J32:J32)</f>
        <v>175000</v>
      </c>
    </row>
    <row r="34" spans="2:12" x14ac:dyDescent="0.25">
      <c r="B34" s="16"/>
      <c r="C34" s="60" t="s">
        <v>56</v>
      </c>
      <c r="D34" s="53" t="s">
        <v>41</v>
      </c>
      <c r="E34" s="52"/>
      <c r="F34" s="52"/>
      <c r="G34" s="52"/>
      <c r="H34" s="52"/>
      <c r="I34" s="54"/>
      <c r="J34" s="64"/>
    </row>
    <row r="35" spans="2:12" x14ac:dyDescent="0.25">
      <c r="B35" s="16"/>
      <c r="C35" s="47"/>
      <c r="D35" s="64"/>
      <c r="E35" s="66"/>
      <c r="F35" s="66"/>
      <c r="G35" s="66"/>
      <c r="H35" s="66"/>
      <c r="I35" s="54"/>
      <c r="J35" s="64">
        <f t="shared" si="6"/>
        <v>0</v>
      </c>
    </row>
    <row r="36" spans="2:12" x14ac:dyDescent="0.25">
      <c r="B36" s="17"/>
      <c r="C36" s="59" t="s">
        <v>57</v>
      </c>
      <c r="D36" s="67">
        <f>SUM(D35:D35)</f>
        <v>0</v>
      </c>
      <c r="E36" s="67">
        <f>SUM(E35:E35)</f>
        <v>0</v>
      </c>
      <c r="F36" s="67">
        <f>SUM(F35:F35)</f>
        <v>0</v>
      </c>
      <c r="G36" s="67">
        <f>SUM(G35:G35)</f>
        <v>0</v>
      </c>
      <c r="H36" s="67">
        <f>SUM(H35:H35)</f>
        <v>0</v>
      </c>
      <c r="I36" s="54"/>
      <c r="J36" s="78">
        <f t="shared" si="6"/>
        <v>0</v>
      </c>
    </row>
    <row r="37" spans="2:12" x14ac:dyDescent="0.25">
      <c r="B37" s="17"/>
      <c r="C37" s="59" t="s">
        <v>19</v>
      </c>
      <c r="D37" s="67">
        <f>D14+D17+D24+D27+D30+D33+D36</f>
        <v>110420.0677745</v>
      </c>
      <c r="E37" s="67">
        <f>E14+E17+E24+E27+E30+E33+E36</f>
        <v>154507.77296907501</v>
      </c>
      <c r="F37" s="67">
        <f>F14+F17+F24+F27+F30+F33+F36</f>
        <v>77845.058860147255</v>
      </c>
      <c r="G37" s="67">
        <f>G14+G17+G24+G27+G30+G33+G36</f>
        <v>81920.736257951678</v>
      </c>
      <c r="H37" s="67">
        <f>H14+H17+H24+H27+H30+H33+H36</f>
        <v>216581.14533851456</v>
      </c>
      <c r="I37" s="54"/>
      <c r="J37" s="67">
        <f>SUM(D37:H37)</f>
        <v>641274.78120018856</v>
      </c>
    </row>
    <row r="38" spans="2:12" x14ac:dyDescent="0.25">
      <c r="B38" s="6"/>
      <c r="C38" s="61"/>
      <c r="D38" s="54"/>
      <c r="E38" s="54"/>
      <c r="F38" s="54"/>
      <c r="G38" s="54"/>
      <c r="H38" s="65"/>
      <c r="I38" s="54"/>
      <c r="J38" s="54" t="s">
        <v>20</v>
      </c>
    </row>
    <row r="39" spans="2:12" ht="30" x14ac:dyDescent="0.25">
      <c r="B39" s="45" t="s">
        <v>58</v>
      </c>
      <c r="C39" s="62" t="s">
        <v>58</v>
      </c>
      <c r="D39" s="68"/>
      <c r="E39" s="68"/>
      <c r="F39" s="68"/>
      <c r="G39" s="68"/>
      <c r="H39" s="68"/>
      <c r="I39" s="54"/>
      <c r="J39" s="68" t="s">
        <v>20</v>
      </c>
    </row>
    <row r="40" spans="2:12" ht="30" x14ac:dyDescent="0.25">
      <c r="B40" s="16"/>
      <c r="C40" s="71" t="s">
        <v>59</v>
      </c>
      <c r="D40" s="64">
        <f>D14*1.1265</f>
        <v>68862.342322500001</v>
      </c>
      <c r="E40" s="64">
        <f>E14*1.1265</f>
        <v>49068.844852875001</v>
      </c>
      <c r="F40" s="64">
        <f>F14*1.1265</f>
        <v>48004.189908461252</v>
      </c>
      <c r="G40" s="64">
        <f>G14*1.1265</f>
        <v>50613.892965715095</v>
      </c>
      <c r="H40" s="64">
        <f>H14*1.1265</f>
        <v>72807.799280302759</v>
      </c>
      <c r="I40" s="54"/>
      <c r="J40" s="64">
        <f>SUM(D40:H40)</f>
        <v>289357.0693298541</v>
      </c>
    </row>
    <row r="41" spans="2:12" x14ac:dyDescent="0.25">
      <c r="B41" s="17"/>
      <c r="C41" s="59" t="s">
        <v>21</v>
      </c>
      <c r="D41" s="67">
        <f>SUM(D40:D40)</f>
        <v>68862.342322500001</v>
      </c>
      <c r="E41" s="67">
        <f>SUM(E40:E40)</f>
        <v>49068.844852875001</v>
      </c>
      <c r="F41" s="67">
        <f>SUM(F40:F40)</f>
        <v>48004.189908461252</v>
      </c>
      <c r="G41" s="67">
        <f>SUM(G40:G40)</f>
        <v>50613.892965715095</v>
      </c>
      <c r="H41" s="67">
        <f>SUM(H40:H40)</f>
        <v>72807.799280302759</v>
      </c>
      <c r="I41" s="54"/>
      <c r="J41" s="67">
        <f>SUM(J40:J40)</f>
        <v>289357.0693298541</v>
      </c>
    </row>
    <row r="42" spans="2:12" ht="15.75" thickBot="1" x14ac:dyDescent="0.3">
      <c r="B42" s="6"/>
      <c r="C42" s="61"/>
      <c r="D42" s="54"/>
      <c r="E42" s="54"/>
      <c r="F42" s="54"/>
      <c r="G42" s="54"/>
      <c r="H42" s="54"/>
      <c r="I42" s="54"/>
      <c r="J42" s="54" t="s">
        <v>20</v>
      </c>
    </row>
    <row r="43" spans="2:12" s="1" customFormat="1" ht="30.75" thickBot="1" x14ac:dyDescent="0.3">
      <c r="B43" s="13" t="s">
        <v>22</v>
      </c>
      <c r="C43" s="63"/>
      <c r="D43" s="70">
        <f>D37+D41</f>
        <v>179282.41009700001</v>
      </c>
      <c r="E43" s="70">
        <f>E37+E41</f>
        <v>203576.61782195</v>
      </c>
      <c r="F43" s="70">
        <f>F37+F41</f>
        <v>125849.24876860851</v>
      </c>
      <c r="G43" s="70">
        <f>G37+G41</f>
        <v>132534.62922366677</v>
      </c>
      <c r="H43" s="91">
        <f>H37+H41</f>
        <v>289388.9446188173</v>
      </c>
      <c r="I43" s="54"/>
      <c r="J43" s="92">
        <f>SUM(D43:H43)</f>
        <v>930631.85053004255</v>
      </c>
      <c r="L43" s="74"/>
    </row>
    <row r="44" spans="2:12" x14ac:dyDescent="0.25">
      <c r="B44" s="6"/>
      <c r="K44" s="25"/>
    </row>
    <row r="45" spans="2:12" x14ac:dyDescent="0.25">
      <c r="B45" s="6"/>
    </row>
    <row r="46" spans="2:12" x14ac:dyDescent="0.25">
      <c r="B46" s="6"/>
    </row>
    <row r="47" spans="2:12" x14ac:dyDescent="0.25">
      <c r="B47" s="6"/>
    </row>
    <row r="48" spans="2:12" x14ac:dyDescent="0.25">
      <c r="B48" s="6"/>
    </row>
    <row r="49" spans="2:2" x14ac:dyDescent="0.25">
      <c r="B49" s="6"/>
    </row>
    <row r="50" spans="2:2" x14ac:dyDescent="0.25">
      <c r="B50" s="6"/>
    </row>
    <row r="51" spans="2:2" x14ac:dyDescent="0.25">
      <c r="B51" s="6"/>
    </row>
    <row r="52" spans="2:2" x14ac:dyDescent="0.25">
      <c r="B52" s="6"/>
    </row>
    <row r="53" spans="2:2" x14ac:dyDescent="0.25">
      <c r="B53" s="6"/>
    </row>
    <row r="54" spans="2:2" x14ac:dyDescent="0.25">
      <c r="B54" s="6"/>
    </row>
    <row r="55" spans="2:2" x14ac:dyDescent="0.25">
      <c r="B55" s="6"/>
    </row>
    <row r="56" spans="2:2" x14ac:dyDescent="0.25">
      <c r="B56" s="6"/>
    </row>
    <row r="57" spans="2:2" x14ac:dyDescent="0.25">
      <c r="B57" s="6"/>
    </row>
    <row r="58" spans="2:2" x14ac:dyDescent="0.25">
      <c r="B58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A2:AM66"/>
  <sheetViews>
    <sheetView showGridLines="0" topLeftCell="A13" zoomScaleNormal="100" workbookViewId="0">
      <selection activeCell="B3" sqref="B3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7109375" customWidth="1"/>
    <col min="11" max="11" width="14.5703125" bestFit="1" customWidth="1"/>
    <col min="12" max="12" width="12.140625" bestFit="1" customWidth="1"/>
    <col min="13" max="13" width="11.140625" bestFit="1" customWidth="1"/>
  </cols>
  <sheetData>
    <row r="2" spans="2:39" ht="23.25" x14ac:dyDescent="0.35">
      <c r="B2" s="21" t="s">
        <v>60</v>
      </c>
      <c r="K2" s="273"/>
      <c r="L2" s="273"/>
      <c r="M2" s="273"/>
      <c r="N2" s="273"/>
    </row>
    <row r="3" spans="2:39" x14ac:dyDescent="0.25">
      <c r="B3" s="5" t="s">
        <v>39</v>
      </c>
    </row>
    <row r="4" spans="2:39" x14ac:dyDescent="0.25">
      <c r="B4" s="5"/>
    </row>
    <row r="5" spans="2:39" ht="18.75" x14ac:dyDescent="0.3">
      <c r="B5" s="26" t="s">
        <v>2</v>
      </c>
      <c r="C5" s="27"/>
      <c r="D5" s="27"/>
      <c r="E5" s="27"/>
      <c r="F5" s="27"/>
      <c r="G5" s="205"/>
      <c r="H5" s="205"/>
      <c r="I5" s="205"/>
      <c r="J5" s="205"/>
    </row>
    <row r="6" spans="2:39" ht="30" x14ac:dyDescent="0.25">
      <c r="B6" s="29" t="s">
        <v>3</v>
      </c>
      <c r="C6" s="29" t="s">
        <v>4</v>
      </c>
      <c r="D6" s="29" t="s">
        <v>5</v>
      </c>
      <c r="E6" s="30" t="s">
        <v>6</v>
      </c>
      <c r="F6" s="175" t="s">
        <v>7</v>
      </c>
      <c r="G6" s="206" t="s">
        <v>8</v>
      </c>
      <c r="H6" s="204" t="s">
        <v>9</v>
      </c>
      <c r="I6" s="204"/>
      <c r="J6" s="207" t="s">
        <v>10</v>
      </c>
    </row>
    <row r="7" spans="2:39" s="5" customFormat="1" ht="30" x14ac:dyDescent="0.25">
      <c r="B7" s="45" t="s">
        <v>11</v>
      </c>
      <c r="C7" s="19" t="s">
        <v>40</v>
      </c>
      <c r="D7" s="10"/>
      <c r="E7" s="10"/>
      <c r="F7" s="10"/>
      <c r="G7" s="186"/>
      <c r="H7" s="76"/>
      <c r="I7" s="7"/>
      <c r="J7" s="8" t="s">
        <v>41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s="5" customFormat="1" ht="60" x14ac:dyDescent="0.25">
      <c r="B8" s="143"/>
      <c r="C8" s="71" t="s">
        <v>61</v>
      </c>
      <c r="D8" s="144">
        <f>128315*0.1</f>
        <v>12831.5</v>
      </c>
      <c r="E8" s="144">
        <f>D8*1.03</f>
        <v>13216.445</v>
      </c>
      <c r="F8" s="144">
        <f t="shared" ref="F8:H8" si="0">E8*1.03</f>
        <v>13612.93835</v>
      </c>
      <c r="G8" s="176">
        <f t="shared" si="0"/>
        <v>14021.326500500001</v>
      </c>
      <c r="H8" s="144">
        <f t="shared" si="0"/>
        <v>14441.966295515002</v>
      </c>
      <c r="I8" s="184"/>
      <c r="J8" s="145">
        <f>SUM(D8:H8)</f>
        <v>68124.176146015001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2:39" ht="30.6" customHeight="1" x14ac:dyDescent="0.25">
      <c r="B9" s="16"/>
      <c r="C9" s="72" t="s">
        <v>62</v>
      </c>
      <c r="D9" s="64">
        <f>110882*0.2</f>
        <v>22176.400000000001</v>
      </c>
      <c r="E9" s="64">
        <f>D9*1.03</f>
        <v>22841.692000000003</v>
      </c>
      <c r="F9" s="64">
        <f t="shared" ref="F9:H9" si="1">E9*1.03</f>
        <v>23526.942760000002</v>
      </c>
      <c r="G9" s="177">
        <f t="shared" si="1"/>
        <v>24232.751042800002</v>
      </c>
      <c r="H9" s="64">
        <f t="shared" si="1"/>
        <v>24959.733574084003</v>
      </c>
      <c r="I9" s="185"/>
      <c r="J9" s="145">
        <f t="shared" ref="J9:J12" si="2">SUM(D9:H9)</f>
        <v>117737.51937688401</v>
      </c>
    </row>
    <row r="10" spans="2:39" ht="45" x14ac:dyDescent="0.25">
      <c r="B10" s="16"/>
      <c r="C10" s="72" t="s">
        <v>63</v>
      </c>
      <c r="D10" s="64">
        <f>91125*0.5</f>
        <v>45562.5</v>
      </c>
      <c r="E10" s="64">
        <f>D10*1.03</f>
        <v>46929.375</v>
      </c>
      <c r="F10" s="64">
        <f t="shared" ref="F10:G10" si="3">E10*1.03</f>
        <v>48337.256249999999</v>
      </c>
      <c r="G10" s="177">
        <f t="shared" si="3"/>
        <v>49787.3739375</v>
      </c>
      <c r="H10" s="64">
        <f>(G10*1.03)+822</f>
        <v>52102.995155625002</v>
      </c>
      <c r="I10" s="43"/>
      <c r="J10" s="145">
        <f t="shared" si="2"/>
        <v>242719.50034312502</v>
      </c>
    </row>
    <row r="11" spans="2:39" ht="60" x14ac:dyDescent="0.25">
      <c r="B11" s="16"/>
      <c r="C11" s="72" t="s">
        <v>64</v>
      </c>
      <c r="D11" s="64">
        <v>14250</v>
      </c>
      <c r="E11" s="64">
        <v>2000</v>
      </c>
      <c r="F11" s="64">
        <v>2000</v>
      </c>
      <c r="G11" s="177">
        <v>2000</v>
      </c>
      <c r="H11" s="64">
        <v>12000</v>
      </c>
      <c r="I11" s="43"/>
      <c r="J11" s="145">
        <f t="shared" si="2"/>
        <v>32250</v>
      </c>
      <c r="L11" s="165"/>
    </row>
    <row r="12" spans="2:39" ht="60" x14ac:dyDescent="0.25">
      <c r="B12" s="16"/>
      <c r="C12" s="72" t="s">
        <v>65</v>
      </c>
      <c r="D12" s="64">
        <v>15000</v>
      </c>
      <c r="E12" s="64">
        <v>7000</v>
      </c>
      <c r="F12" s="64">
        <v>6075.55</v>
      </c>
      <c r="G12" s="177">
        <v>7000</v>
      </c>
      <c r="H12" s="64">
        <v>15000</v>
      </c>
      <c r="I12" s="54"/>
      <c r="J12" s="145">
        <f t="shared" si="2"/>
        <v>50075.55</v>
      </c>
      <c r="L12" s="25"/>
    </row>
    <row r="13" spans="2:39" x14ac:dyDescent="0.25">
      <c r="B13" s="16"/>
      <c r="C13" s="9" t="s">
        <v>43</v>
      </c>
      <c r="D13" s="67">
        <f>SUM(D8:D12)</f>
        <v>109820.4</v>
      </c>
      <c r="E13" s="67">
        <f t="shared" ref="E13:I13" si="4">SUM(E8:E12)</f>
        <v>91987.512000000002</v>
      </c>
      <c r="F13" s="67">
        <f t="shared" si="4"/>
        <v>93552.687359999996</v>
      </c>
      <c r="G13" s="178">
        <f t="shared" si="4"/>
        <v>97041.451480799995</v>
      </c>
      <c r="H13" s="67">
        <f t="shared" si="4"/>
        <v>118504.69502522401</v>
      </c>
      <c r="I13" s="82">
        <f t="shared" si="4"/>
        <v>0</v>
      </c>
      <c r="J13" s="166">
        <f>SUM(D13:H13)</f>
        <v>510906.74586602399</v>
      </c>
    </row>
    <row r="14" spans="2:39" x14ac:dyDescent="0.25">
      <c r="B14" s="16"/>
      <c r="C14" s="11" t="s">
        <v>44</v>
      </c>
      <c r="D14" s="53" t="s">
        <v>41</v>
      </c>
      <c r="E14" s="52"/>
      <c r="F14" s="52"/>
      <c r="G14" s="179"/>
      <c r="H14" s="52"/>
      <c r="I14" s="54"/>
      <c r="J14" s="68" t="s">
        <v>41</v>
      </c>
    </row>
    <row r="15" spans="2:39" ht="17.45" customHeight="1" x14ac:dyDescent="0.25">
      <c r="B15" s="16"/>
      <c r="C15" s="72" t="s">
        <v>45</v>
      </c>
      <c r="D15" s="64">
        <f>D13*0.7593</f>
        <v>83386.629719999997</v>
      </c>
      <c r="E15" s="64">
        <f t="shared" ref="E15:J15" si="5">E13*0.7593</f>
        <v>69846.117861599996</v>
      </c>
      <c r="F15" s="64">
        <f t="shared" si="5"/>
        <v>71034.555512448002</v>
      </c>
      <c r="G15" s="177">
        <f t="shared" si="5"/>
        <v>73683.574109371431</v>
      </c>
      <c r="H15" s="64">
        <f t="shared" si="5"/>
        <v>89980.614932652577</v>
      </c>
      <c r="I15" s="82">
        <f t="shared" si="5"/>
        <v>0</v>
      </c>
      <c r="J15" s="64">
        <f t="shared" si="5"/>
        <v>387931.49213607202</v>
      </c>
    </row>
    <row r="16" spans="2:39" x14ac:dyDescent="0.25">
      <c r="B16" s="16"/>
      <c r="C16" s="9" t="s">
        <v>13</v>
      </c>
      <c r="D16" s="67">
        <f>SUM(D15)</f>
        <v>83386.629719999997</v>
      </c>
      <c r="E16" s="67">
        <f t="shared" ref="E16:J16" si="6">SUM(E15)</f>
        <v>69846.117861599996</v>
      </c>
      <c r="F16" s="67">
        <f t="shared" si="6"/>
        <v>71034.555512448002</v>
      </c>
      <c r="G16" s="178">
        <f t="shared" si="6"/>
        <v>73683.574109371431</v>
      </c>
      <c r="H16" s="67">
        <f t="shared" si="6"/>
        <v>89980.614932652577</v>
      </c>
      <c r="I16" s="82">
        <f t="shared" si="6"/>
        <v>0</v>
      </c>
      <c r="J16" s="67">
        <f t="shared" si="6"/>
        <v>387931.49213607202</v>
      </c>
    </row>
    <row r="17" spans="2:25" x14ac:dyDescent="0.25">
      <c r="B17" s="16"/>
      <c r="C17" s="11" t="s">
        <v>46</v>
      </c>
      <c r="D17" s="53" t="s">
        <v>41</v>
      </c>
      <c r="E17" s="52"/>
      <c r="F17" s="52"/>
      <c r="G17" s="179"/>
      <c r="H17" s="52"/>
      <c r="I17" s="54"/>
      <c r="J17" s="68" t="s">
        <v>41</v>
      </c>
    </row>
    <row r="18" spans="2:25" x14ac:dyDescent="0.25">
      <c r="B18" s="16"/>
      <c r="C18" s="72"/>
      <c r="D18" s="64"/>
      <c r="E18" s="64"/>
      <c r="F18" s="64"/>
      <c r="G18" s="177"/>
      <c r="H18" s="64"/>
      <c r="I18" s="65"/>
      <c r="J18" s="64">
        <f>SUM(D18:H18)</f>
        <v>0</v>
      </c>
    </row>
    <row r="19" spans="2:25" x14ac:dyDescent="0.25">
      <c r="B19" s="16"/>
      <c r="C19" s="9" t="s">
        <v>14</v>
      </c>
      <c r="D19" s="67">
        <f>SUM(D18:D18)</f>
        <v>0</v>
      </c>
      <c r="E19" s="67">
        <f>SUM(E18:E18)</f>
        <v>0</v>
      </c>
      <c r="F19" s="67">
        <f>SUM(F18:F18)</f>
        <v>0</v>
      </c>
      <c r="G19" s="178">
        <f>SUM(G18:G18)</f>
        <v>0</v>
      </c>
      <c r="H19" s="67">
        <f>SUM(H18:H18)</f>
        <v>0</v>
      </c>
      <c r="I19" s="54"/>
      <c r="J19" s="67">
        <f>SUM(J18:J18)</f>
        <v>0</v>
      </c>
    </row>
    <row r="20" spans="2:25" x14ac:dyDescent="0.25">
      <c r="B20" s="16"/>
      <c r="C20" s="11" t="s">
        <v>52</v>
      </c>
      <c r="D20" s="64"/>
      <c r="E20" s="52"/>
      <c r="F20" s="52"/>
      <c r="G20" s="179"/>
      <c r="H20" s="52"/>
      <c r="I20" s="54"/>
      <c r="J20" s="64" t="s">
        <v>20</v>
      </c>
    </row>
    <row r="21" spans="2:25" x14ac:dyDescent="0.25">
      <c r="B21" s="16" t="s">
        <v>66</v>
      </c>
      <c r="C21" s="20" t="s">
        <v>66</v>
      </c>
      <c r="D21" s="53" t="s">
        <v>41</v>
      </c>
      <c r="E21" s="52"/>
      <c r="F21" s="52"/>
      <c r="G21" s="179"/>
      <c r="H21" s="52"/>
      <c r="I21" s="54"/>
      <c r="J21" s="64">
        <f t="shared" ref="J21:J24" si="7">SUM(D21:H21)</f>
        <v>0</v>
      </c>
    </row>
    <row r="22" spans="2:25" x14ac:dyDescent="0.25">
      <c r="B22" s="16"/>
      <c r="C22" s="9" t="s">
        <v>15</v>
      </c>
      <c r="D22" s="69">
        <f>SUM(D21:D21)</f>
        <v>0</v>
      </c>
      <c r="E22" s="69">
        <f>SUM(E21:E21)</f>
        <v>0</v>
      </c>
      <c r="F22" s="69">
        <f>SUM(F21:F21)</f>
        <v>0</v>
      </c>
      <c r="G22" s="180">
        <f>SUM(G21:G21)</f>
        <v>0</v>
      </c>
      <c r="H22" s="188">
        <f>SUM(H21:H21)</f>
        <v>0</v>
      </c>
      <c r="I22" s="54"/>
      <c r="J22" s="67">
        <f>SUM(J21:J21)</f>
        <v>0</v>
      </c>
    </row>
    <row r="23" spans="2:25" x14ac:dyDescent="0.25">
      <c r="B23" s="16"/>
      <c r="C23" s="11" t="s">
        <v>53</v>
      </c>
      <c r="D23" s="53" t="s">
        <v>41</v>
      </c>
      <c r="E23" s="52"/>
      <c r="F23" s="52"/>
      <c r="G23" s="179"/>
      <c r="H23" s="52"/>
      <c r="I23" s="54"/>
      <c r="J23" s="64"/>
    </row>
    <row r="24" spans="2:25" x14ac:dyDescent="0.25">
      <c r="B24" s="16"/>
      <c r="C24" s="18"/>
      <c r="D24" s="64"/>
      <c r="E24" s="66"/>
      <c r="F24" s="66"/>
      <c r="G24" s="181"/>
      <c r="H24" s="66"/>
      <c r="I24" s="54"/>
      <c r="J24" s="64">
        <f t="shared" si="7"/>
        <v>0</v>
      </c>
    </row>
    <row r="25" spans="2:25" x14ac:dyDescent="0.25">
      <c r="B25" s="16"/>
      <c r="C25" s="9" t="s">
        <v>16</v>
      </c>
      <c r="D25" s="67">
        <f>SUM(D24:D24)</f>
        <v>0</v>
      </c>
      <c r="E25" s="67">
        <f>SUM(E24:E24)</f>
        <v>0</v>
      </c>
      <c r="F25" s="67">
        <f>SUM(F24:F24)</f>
        <v>0</v>
      </c>
      <c r="G25" s="178">
        <f>SUM(G24:G24)</f>
        <v>0</v>
      </c>
      <c r="H25" s="67">
        <f>SUM(H24:H24)</f>
        <v>0</v>
      </c>
      <c r="I25" s="54"/>
      <c r="J25" s="67">
        <f>SUM(J24:J24)</f>
        <v>0</v>
      </c>
    </row>
    <row r="26" spans="2:25" x14ac:dyDescent="0.25">
      <c r="B26" s="16"/>
      <c r="C26" s="11" t="s">
        <v>54</v>
      </c>
      <c r="D26" s="53" t="s">
        <v>41</v>
      </c>
      <c r="E26" s="52"/>
      <c r="F26" s="52"/>
      <c r="G26" s="179"/>
      <c r="H26" s="52"/>
      <c r="I26" s="54"/>
      <c r="J26" s="64"/>
    </row>
    <row r="27" spans="2:25" ht="120" x14ac:dyDescent="0.25">
      <c r="B27" s="16"/>
      <c r="C27" s="72" t="s">
        <v>67</v>
      </c>
      <c r="D27" s="64">
        <v>480000</v>
      </c>
      <c r="E27" s="64">
        <v>480000</v>
      </c>
      <c r="F27" s="64">
        <v>480000</v>
      </c>
      <c r="G27" s="177">
        <v>480000</v>
      </c>
      <c r="H27" s="64">
        <v>480000</v>
      </c>
      <c r="I27" s="65"/>
      <c r="J27" s="64">
        <f>SUM(D27:H27)</f>
        <v>2400000</v>
      </c>
      <c r="L27" s="255" t="s">
        <v>68</v>
      </c>
      <c r="M27" s="255"/>
      <c r="N27" s="255"/>
      <c r="O27" s="255"/>
      <c r="P27" s="255"/>
      <c r="Q27" s="255"/>
      <c r="R27" s="255"/>
      <c r="S27" s="255"/>
      <c r="T27" s="255"/>
      <c r="U27" s="255"/>
      <c r="V27" s="255"/>
      <c r="W27" s="255"/>
      <c r="X27" s="255"/>
      <c r="Y27" s="255"/>
    </row>
    <row r="28" spans="2:25" ht="120" x14ac:dyDescent="0.25">
      <c r="B28" s="16"/>
      <c r="C28" s="72" t="s">
        <v>69</v>
      </c>
      <c r="D28" s="64">
        <v>250000</v>
      </c>
      <c r="E28" s="64">
        <v>250000</v>
      </c>
      <c r="F28" s="64">
        <v>250000</v>
      </c>
      <c r="G28" s="177">
        <v>250000</v>
      </c>
      <c r="H28" s="64">
        <v>250000</v>
      </c>
      <c r="I28" s="65"/>
      <c r="J28" s="64">
        <f>SUM(D28:H28)</f>
        <v>1250000</v>
      </c>
      <c r="K28" s="46"/>
      <c r="L28" s="46"/>
    </row>
    <row r="29" spans="2:25" x14ac:dyDescent="0.25">
      <c r="B29" s="16"/>
      <c r="C29" s="9" t="s">
        <v>17</v>
      </c>
      <c r="D29" s="67">
        <f>SUM(D27:D28)</f>
        <v>730000</v>
      </c>
      <c r="E29" s="67">
        <f t="shared" ref="E29:J29" si="8">SUM(E27:E28)</f>
        <v>730000</v>
      </c>
      <c r="F29" s="67">
        <f t="shared" si="8"/>
        <v>730000</v>
      </c>
      <c r="G29" s="178">
        <f t="shared" si="8"/>
        <v>730000</v>
      </c>
      <c r="H29" s="67">
        <f t="shared" si="8"/>
        <v>730000</v>
      </c>
      <c r="I29" s="82">
        <f t="shared" si="8"/>
        <v>0</v>
      </c>
      <c r="J29" s="67">
        <f t="shared" si="8"/>
        <v>3650000</v>
      </c>
    </row>
    <row r="30" spans="2:25" x14ac:dyDescent="0.25">
      <c r="B30" s="16"/>
      <c r="C30" s="11" t="s">
        <v>56</v>
      </c>
      <c r="D30" s="53" t="s">
        <v>41</v>
      </c>
      <c r="E30" s="52"/>
      <c r="F30" s="52"/>
      <c r="G30" s="179"/>
      <c r="H30" s="52"/>
      <c r="I30" s="54"/>
      <c r="J30" s="64"/>
    </row>
    <row r="31" spans="2:25" ht="30" x14ac:dyDescent="0.25">
      <c r="B31" s="16"/>
      <c r="C31" s="120" t="s">
        <v>70</v>
      </c>
      <c r="D31" s="64">
        <v>5000000</v>
      </c>
      <c r="E31" s="64">
        <v>4000000</v>
      </c>
      <c r="F31" s="64">
        <v>1000000</v>
      </c>
      <c r="G31" s="187">
        <v>780000</v>
      </c>
      <c r="H31" s="64">
        <v>0</v>
      </c>
      <c r="I31" s="54"/>
      <c r="J31" s="64">
        <f>SUM(D31:H31)</f>
        <v>10780000</v>
      </c>
      <c r="K31" s="174"/>
      <c r="L31" s="25"/>
      <c r="M31" s="25"/>
    </row>
    <row r="32" spans="2:25" ht="45" x14ac:dyDescent="0.25">
      <c r="B32" s="16"/>
      <c r="C32" s="121" t="s">
        <v>71</v>
      </c>
      <c r="D32" s="64">
        <v>2500000</v>
      </c>
      <c r="E32" s="64">
        <v>2500000</v>
      </c>
      <c r="F32" s="64">
        <v>2500000</v>
      </c>
      <c r="G32" s="177">
        <f>410050+1185575</f>
        <v>1595625</v>
      </c>
      <c r="H32" s="64">
        <v>0</v>
      </c>
      <c r="I32" s="54"/>
      <c r="J32" s="64">
        <f>SUM(D32:H32)</f>
        <v>9095625</v>
      </c>
      <c r="K32" s="174"/>
      <c r="L32" s="25"/>
    </row>
    <row r="33" spans="1:13" x14ac:dyDescent="0.25">
      <c r="B33" s="17"/>
      <c r="C33" s="9" t="s">
        <v>57</v>
      </c>
      <c r="D33" s="67">
        <f>SUM(D31:D32)</f>
        <v>7500000</v>
      </c>
      <c r="E33" s="67">
        <f t="shared" ref="E33:H33" si="9">SUM(E31:E32)</f>
        <v>6500000</v>
      </c>
      <c r="F33" s="67">
        <f t="shared" si="9"/>
        <v>3500000</v>
      </c>
      <c r="G33" s="178">
        <f t="shared" si="9"/>
        <v>2375625</v>
      </c>
      <c r="H33" s="67">
        <f t="shared" si="9"/>
        <v>0</v>
      </c>
      <c r="I33" s="54"/>
      <c r="J33" s="78">
        <f>SUM(D33:H33)</f>
        <v>19875625</v>
      </c>
      <c r="K33" s="171"/>
    </row>
    <row r="34" spans="1:13" x14ac:dyDescent="0.25">
      <c r="B34" s="17"/>
      <c r="C34" s="9" t="s">
        <v>19</v>
      </c>
      <c r="D34" s="67">
        <f>SUM(D13+D16+D19+D22+D25+D29+D33)</f>
        <v>8423207.0297200009</v>
      </c>
      <c r="E34" s="67">
        <f t="shared" ref="E34:I34" si="10">SUM(E13+E16+E19+E22+E25+E29+E33)</f>
        <v>7391833.6298615998</v>
      </c>
      <c r="F34" s="67">
        <f t="shared" si="10"/>
        <v>4394587.2428724477</v>
      </c>
      <c r="G34" s="178">
        <f t="shared" si="10"/>
        <v>3276350.0255901716</v>
      </c>
      <c r="H34" s="67">
        <f t="shared" si="10"/>
        <v>938485.30995787657</v>
      </c>
      <c r="I34" s="82">
        <f t="shared" si="10"/>
        <v>0</v>
      </c>
      <c r="J34" s="67">
        <f>J13+J16+J19+J22+J25+J29+J33</f>
        <v>24424463.238002095</v>
      </c>
    </row>
    <row r="35" spans="1:13" x14ac:dyDescent="0.25">
      <c r="B35" s="6"/>
      <c r="D35" s="54"/>
      <c r="E35" s="54"/>
      <c r="F35" s="54"/>
      <c r="G35" s="54"/>
      <c r="H35" s="168"/>
      <c r="I35" s="54"/>
      <c r="J35" s="54" t="s">
        <v>20</v>
      </c>
      <c r="K35" s="168"/>
    </row>
    <row r="36" spans="1:13" ht="30" x14ac:dyDescent="0.25">
      <c r="B36" s="45" t="s">
        <v>58</v>
      </c>
      <c r="C36" s="12" t="s">
        <v>58</v>
      </c>
      <c r="D36" s="68"/>
      <c r="E36" s="68"/>
      <c r="F36" s="68"/>
      <c r="G36" s="68"/>
      <c r="H36" s="68"/>
      <c r="I36" s="54"/>
      <c r="J36" s="68" t="s">
        <v>20</v>
      </c>
    </row>
    <row r="37" spans="1:13" ht="45" x14ac:dyDescent="0.25">
      <c r="B37" s="16"/>
      <c r="C37" s="72" t="s">
        <v>72</v>
      </c>
      <c r="D37" s="64">
        <f>D13*1.1265</f>
        <v>123712.68059999999</v>
      </c>
      <c r="E37" s="64">
        <f t="shared" ref="E37:J37" si="11">E13*1.1265</f>
        <v>103623.932268</v>
      </c>
      <c r="F37" s="64">
        <f t="shared" si="11"/>
        <v>105387.10231104</v>
      </c>
      <c r="G37" s="64">
        <f t="shared" si="11"/>
        <v>109317.1950931212</v>
      </c>
      <c r="H37" s="64">
        <f t="shared" si="11"/>
        <v>133495.53894591486</v>
      </c>
      <c r="I37" s="82">
        <f t="shared" si="11"/>
        <v>0</v>
      </c>
      <c r="J37" s="64">
        <f t="shared" si="11"/>
        <v>575536.44921807607</v>
      </c>
    </row>
    <row r="38" spans="1:13" x14ac:dyDescent="0.25">
      <c r="B38" s="17"/>
      <c r="C38" s="9" t="s">
        <v>21</v>
      </c>
      <c r="D38" s="67">
        <f>SUM(D37:D37)</f>
        <v>123712.68059999999</v>
      </c>
      <c r="E38" s="67">
        <f>SUM(E37:E37)</f>
        <v>103623.932268</v>
      </c>
      <c r="F38" s="67">
        <f>SUM(F37:F37)</f>
        <v>105387.10231104</v>
      </c>
      <c r="G38" s="67">
        <f>SUM(G37:G37)</f>
        <v>109317.1950931212</v>
      </c>
      <c r="H38" s="67">
        <f>SUM(H37:H37)</f>
        <v>133495.53894591486</v>
      </c>
      <c r="I38" s="54"/>
      <c r="J38" s="67">
        <f>J37</f>
        <v>575536.44921807607</v>
      </c>
      <c r="M38" s="25"/>
    </row>
    <row r="39" spans="1:13" ht="15.75" thickBot="1" x14ac:dyDescent="0.3">
      <c r="B39" s="6"/>
      <c r="D39" s="54"/>
      <c r="E39" s="54"/>
      <c r="F39" s="54"/>
      <c r="G39" s="54"/>
      <c r="H39" s="54"/>
      <c r="I39" s="54"/>
      <c r="J39" s="54" t="s">
        <v>20</v>
      </c>
    </row>
    <row r="40" spans="1:13" ht="30.75" thickBot="1" x14ac:dyDescent="0.3">
      <c r="A40" s="1"/>
      <c r="B40" s="13" t="s">
        <v>22</v>
      </c>
      <c r="C40" s="13"/>
      <c r="D40" s="70">
        <f>(D34+D38)</f>
        <v>8546919.7103200015</v>
      </c>
      <c r="E40" s="70">
        <f t="shared" ref="E40:H40" si="12">(E34+E38)</f>
        <v>7495457.5621296</v>
      </c>
      <c r="F40" s="70">
        <f t="shared" si="12"/>
        <v>4499974.345183488</v>
      </c>
      <c r="G40" s="183">
        <f t="shared" si="12"/>
        <v>3385667.220683293</v>
      </c>
      <c r="H40" s="92">
        <f t="shared" si="12"/>
        <v>1071980.8489037915</v>
      </c>
      <c r="I40" s="54"/>
      <c r="J40" s="92">
        <f>SUM(J34+J38)</f>
        <v>24999999.687220171</v>
      </c>
      <c r="K40" s="25"/>
    </row>
    <row r="41" spans="1:13" x14ac:dyDescent="0.25">
      <c r="B41" s="6"/>
      <c r="C41" s="79"/>
      <c r="D41" s="80"/>
      <c r="E41" s="81"/>
      <c r="F41" s="81"/>
      <c r="G41" s="81"/>
      <c r="H41" s="81"/>
      <c r="J41" s="82"/>
      <c r="K41" s="25"/>
    </row>
    <row r="42" spans="1:13" x14ac:dyDescent="0.25">
      <c r="B42" s="6"/>
      <c r="C42" s="84"/>
      <c r="D42" s="80"/>
      <c r="E42" s="85"/>
      <c r="F42" s="85"/>
      <c r="G42" s="85"/>
      <c r="H42" s="85"/>
      <c r="J42" s="82"/>
      <c r="K42" s="168"/>
    </row>
    <row r="43" spans="1:13" x14ac:dyDescent="0.25">
      <c r="B43" s="6"/>
      <c r="C43" s="84"/>
      <c r="D43" s="82"/>
      <c r="E43" s="82"/>
      <c r="F43" s="82"/>
      <c r="G43" s="82"/>
      <c r="H43" s="169"/>
      <c r="I43" s="54"/>
      <c r="J43" s="82"/>
    </row>
    <row r="44" spans="1:13" x14ac:dyDescent="0.25">
      <c r="B44" s="6"/>
      <c r="C44" s="84"/>
      <c r="D44" s="82"/>
      <c r="E44" s="82"/>
      <c r="F44" s="82"/>
      <c r="G44" s="82"/>
      <c r="H44" s="82"/>
      <c r="I44" s="54"/>
      <c r="J44" s="82"/>
    </row>
    <row r="45" spans="1:13" x14ac:dyDescent="0.25">
      <c r="B45" s="6"/>
      <c r="D45" s="54"/>
      <c r="E45" s="54"/>
      <c r="F45" s="54"/>
      <c r="G45" s="54"/>
      <c r="H45" s="54"/>
      <c r="I45" s="54"/>
      <c r="J45" s="54"/>
    </row>
    <row r="46" spans="1:13" x14ac:dyDescent="0.25">
      <c r="B46" s="86"/>
      <c r="C46" s="1"/>
      <c r="D46" s="54"/>
      <c r="E46" s="54"/>
      <c r="F46" s="54"/>
      <c r="G46" s="54"/>
      <c r="H46" s="54"/>
      <c r="I46" s="54"/>
      <c r="J46" s="54"/>
    </row>
    <row r="47" spans="1:13" x14ac:dyDescent="0.25">
      <c r="B47" s="6"/>
      <c r="C47" s="79"/>
      <c r="D47" s="87"/>
      <c r="E47" s="88"/>
      <c r="F47" s="88"/>
      <c r="G47" s="88"/>
      <c r="H47" s="88"/>
      <c r="I47" s="54"/>
      <c r="J47" s="82"/>
    </row>
    <row r="48" spans="1:13" x14ac:dyDescent="0.25">
      <c r="B48" s="6"/>
      <c r="C48" s="79"/>
      <c r="D48" s="87"/>
      <c r="E48" s="88"/>
      <c r="F48" s="88"/>
      <c r="G48" s="88"/>
      <c r="H48" s="88"/>
      <c r="I48" s="54"/>
      <c r="J48" s="82"/>
    </row>
    <row r="49" spans="2:10" x14ac:dyDescent="0.25">
      <c r="B49" s="6"/>
      <c r="C49" s="84"/>
      <c r="D49" s="82"/>
      <c r="E49" s="82"/>
      <c r="F49" s="82"/>
      <c r="G49" s="82"/>
      <c r="H49" s="82"/>
      <c r="I49" s="54"/>
      <c r="J49" s="82"/>
    </row>
    <row r="50" spans="2:10" x14ac:dyDescent="0.25">
      <c r="B50" s="6"/>
      <c r="D50" s="54"/>
      <c r="E50" s="54"/>
      <c r="F50" s="54"/>
      <c r="G50" s="54"/>
      <c r="H50" s="54"/>
      <c r="I50" s="54"/>
      <c r="J50" s="54"/>
    </row>
    <row r="51" spans="2:10" s="1" customFormat="1" x14ac:dyDescent="0.25">
      <c r="B51" s="89"/>
      <c r="C51" s="89"/>
      <c r="D51" s="83"/>
      <c r="E51" s="83"/>
      <c r="F51" s="83"/>
      <c r="G51" s="83"/>
      <c r="H51" s="83"/>
      <c r="I51" s="54"/>
      <c r="J51" s="83"/>
    </row>
    <row r="52" spans="2:10" x14ac:dyDescent="0.25">
      <c r="B52" s="6"/>
      <c r="E52" s="90"/>
      <c r="H52" s="90"/>
    </row>
    <row r="53" spans="2:10" x14ac:dyDescent="0.25">
      <c r="B53" s="6"/>
      <c r="E53" s="90"/>
      <c r="H53" s="90"/>
    </row>
    <row r="54" spans="2:10" x14ac:dyDescent="0.25">
      <c r="B54" s="6"/>
      <c r="E54" s="90"/>
      <c r="H54" s="90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</sheetData>
  <pageMargins left="0.7" right="0.7" top="0.75" bottom="0.75" header="0.3" footer="0.3"/>
  <pageSetup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A1:AM55"/>
  <sheetViews>
    <sheetView showGridLines="0" zoomScaleNormal="100" workbookViewId="0">
      <selection activeCell="M22" sqref="M22"/>
    </sheetView>
  </sheetViews>
  <sheetFormatPr defaultColWidth="9.140625" defaultRowHeight="15" x14ac:dyDescent="0.25"/>
  <cols>
    <col min="1" max="1" width="3.140625" style="54" customWidth="1"/>
    <col min="2" max="2" width="9.7109375" style="54" customWidth="1"/>
    <col min="3" max="3" width="40" style="54" bestFit="1" customWidth="1"/>
    <col min="4" max="4" width="12.85546875" style="94" customWidth="1"/>
    <col min="5" max="5" width="12.42578125" style="109" customWidth="1"/>
    <col min="6" max="7" width="11.140625" style="54" bestFit="1" customWidth="1"/>
    <col min="8" max="8" width="13.42578125" style="109" customWidth="1"/>
    <col min="9" max="9" width="1.85546875" style="54" customWidth="1"/>
    <col min="10" max="10" width="14.42578125" style="54" customWidth="1"/>
    <col min="11" max="11" width="13" style="54" bestFit="1" customWidth="1"/>
    <col min="12" max="16384" width="9.140625" style="54"/>
  </cols>
  <sheetData>
    <row r="1" spans="1:39" x14ac:dyDescent="0.25">
      <c r="A1" s="261"/>
      <c r="B1" s="261"/>
      <c r="E1" s="54"/>
      <c r="H1" s="54"/>
      <c r="I1" s="261"/>
      <c r="J1" s="261"/>
    </row>
    <row r="2" spans="1:39" ht="23.25" x14ac:dyDescent="0.35">
      <c r="B2" s="95" t="s">
        <v>73</v>
      </c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39" x14ac:dyDescent="0.25">
      <c r="B3" s="43" t="s">
        <v>39</v>
      </c>
      <c r="E3" s="54"/>
      <c r="H3" s="54"/>
      <c r="I3" s="261"/>
      <c r="J3" s="261"/>
    </row>
    <row r="4" spans="1:39" x14ac:dyDescent="0.25">
      <c r="A4" s="261"/>
      <c r="B4" s="261"/>
      <c r="E4" s="54"/>
      <c r="H4" s="54"/>
      <c r="I4" s="262"/>
      <c r="J4" s="262"/>
    </row>
    <row r="5" spans="1:39" ht="18.75" x14ac:dyDescent="0.3">
      <c r="B5" s="96" t="s">
        <v>2</v>
      </c>
      <c r="C5" s="97"/>
      <c r="D5" s="97"/>
      <c r="E5" s="97"/>
      <c r="F5" s="97"/>
      <c r="G5" s="97"/>
      <c r="H5" s="97"/>
      <c r="I5" s="97"/>
      <c r="J5" s="98"/>
    </row>
    <row r="6" spans="1:39" ht="30" x14ac:dyDescent="0.25">
      <c r="B6" s="99" t="s">
        <v>3</v>
      </c>
      <c r="C6" s="99" t="s">
        <v>4</v>
      </c>
      <c r="D6" s="99" t="s">
        <v>5</v>
      </c>
      <c r="E6" s="100" t="s">
        <v>6</v>
      </c>
      <c r="F6" s="100" t="s">
        <v>7</v>
      </c>
      <c r="G6" s="100" t="s">
        <v>8</v>
      </c>
      <c r="H6" s="101" t="s">
        <v>9</v>
      </c>
      <c r="I6" s="102"/>
      <c r="J6" s="103" t="s">
        <v>10</v>
      </c>
    </row>
    <row r="7" spans="1:39" s="43" customFormat="1" ht="30" x14ac:dyDescent="0.25">
      <c r="B7" s="104" t="s">
        <v>11</v>
      </c>
      <c r="C7" s="48" t="s">
        <v>40</v>
      </c>
      <c r="D7" s="52"/>
      <c r="E7" s="52"/>
      <c r="F7" s="52"/>
      <c r="G7" s="52"/>
      <c r="H7" s="52"/>
      <c r="I7" s="54"/>
      <c r="J7" s="68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</row>
    <row r="8" spans="1:39" x14ac:dyDescent="0.25">
      <c r="B8" s="105"/>
      <c r="C8" s="49"/>
      <c r="D8" s="53"/>
      <c r="E8" s="52"/>
      <c r="F8" s="52"/>
      <c r="G8" s="52"/>
      <c r="H8" s="52"/>
      <c r="J8" s="64">
        <v>0</v>
      </c>
    </row>
    <row r="9" spans="1:39" x14ac:dyDescent="0.25">
      <c r="B9" s="105"/>
      <c r="C9" s="50" t="s">
        <v>43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J9" s="67">
        <v>0</v>
      </c>
    </row>
    <row r="10" spans="1:39" x14ac:dyDescent="0.25">
      <c r="B10" s="105"/>
      <c r="C10" s="51" t="s">
        <v>44</v>
      </c>
      <c r="D10" s="53"/>
      <c r="E10" s="52"/>
      <c r="F10" s="52"/>
      <c r="G10" s="52"/>
      <c r="H10" s="52"/>
      <c r="J10" s="68"/>
    </row>
    <row r="11" spans="1:39" x14ac:dyDescent="0.25">
      <c r="B11" s="105"/>
      <c r="C11" s="52"/>
      <c r="D11" s="53"/>
      <c r="E11" s="52"/>
      <c r="F11" s="52"/>
      <c r="G11" s="52"/>
      <c r="H11" s="52"/>
      <c r="J11" s="64">
        <v>0</v>
      </c>
    </row>
    <row r="12" spans="1:39" x14ac:dyDescent="0.25">
      <c r="B12" s="105"/>
      <c r="C12" s="50" t="s">
        <v>13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J12" s="67">
        <v>0</v>
      </c>
    </row>
    <row r="13" spans="1:39" x14ac:dyDescent="0.25">
      <c r="B13" s="105"/>
      <c r="C13" s="51" t="s">
        <v>46</v>
      </c>
      <c r="D13" s="53"/>
      <c r="E13" s="52"/>
      <c r="F13" s="52"/>
      <c r="G13" s="52"/>
      <c r="H13" s="52"/>
      <c r="J13" s="68"/>
    </row>
    <row r="14" spans="1:39" x14ac:dyDescent="0.25">
      <c r="B14" s="105"/>
      <c r="C14" s="47"/>
      <c r="D14" s="53"/>
      <c r="E14" s="53"/>
      <c r="F14" s="53"/>
      <c r="G14" s="53"/>
      <c r="H14" s="53"/>
      <c r="J14" s="64">
        <v>0</v>
      </c>
    </row>
    <row r="15" spans="1:39" x14ac:dyDescent="0.25">
      <c r="B15" s="105"/>
      <c r="C15" s="50" t="s">
        <v>14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J15" s="67">
        <v>0</v>
      </c>
    </row>
    <row r="16" spans="1:39" x14ac:dyDescent="0.25">
      <c r="B16" s="105"/>
      <c r="C16" s="51" t="s">
        <v>52</v>
      </c>
      <c r="D16" s="53"/>
      <c r="E16" s="52"/>
      <c r="F16" s="52"/>
      <c r="G16" s="52"/>
      <c r="H16" s="52"/>
      <c r="J16" s="53"/>
    </row>
    <row r="17" spans="1:11" x14ac:dyDescent="0.25">
      <c r="B17" s="105"/>
      <c r="C17" s="47"/>
      <c r="D17" s="53"/>
      <c r="E17" s="52"/>
      <c r="F17" s="52"/>
      <c r="G17" s="52"/>
      <c r="H17" s="52"/>
      <c r="J17" s="64">
        <v>0</v>
      </c>
    </row>
    <row r="18" spans="1:11" x14ac:dyDescent="0.25">
      <c r="B18" s="105" t="s">
        <v>66</v>
      </c>
      <c r="C18" s="53" t="s">
        <v>66</v>
      </c>
      <c r="D18" s="53"/>
      <c r="E18" s="52"/>
      <c r="F18" s="52"/>
      <c r="G18" s="52"/>
      <c r="H18" s="52"/>
      <c r="J18" s="64">
        <v>0</v>
      </c>
    </row>
    <row r="19" spans="1:11" x14ac:dyDescent="0.25">
      <c r="B19" s="105"/>
      <c r="C19" s="50" t="s">
        <v>15</v>
      </c>
      <c r="D19" s="69">
        <v>0</v>
      </c>
      <c r="E19" s="69">
        <v>0</v>
      </c>
      <c r="F19" s="69">
        <v>0</v>
      </c>
      <c r="G19" s="69">
        <v>0</v>
      </c>
      <c r="H19" s="69">
        <v>0</v>
      </c>
      <c r="J19" s="67">
        <v>0</v>
      </c>
    </row>
    <row r="20" spans="1:11" x14ac:dyDescent="0.25">
      <c r="B20" s="105"/>
      <c r="C20" s="51" t="s">
        <v>53</v>
      </c>
      <c r="D20" s="53"/>
      <c r="E20" s="52"/>
      <c r="F20" s="52"/>
      <c r="G20" s="52"/>
      <c r="H20" s="52"/>
      <c r="J20" s="53"/>
    </row>
    <row r="21" spans="1:11" x14ac:dyDescent="0.25">
      <c r="B21" s="105"/>
      <c r="C21" s="47"/>
      <c r="D21" s="53"/>
      <c r="E21" s="53"/>
      <c r="F21" s="53"/>
      <c r="G21" s="53"/>
      <c r="H21" s="53"/>
      <c r="J21" s="64">
        <v>0</v>
      </c>
    </row>
    <row r="22" spans="1:11" x14ac:dyDescent="0.25">
      <c r="B22" s="105"/>
      <c r="C22" s="47"/>
      <c r="D22" s="53"/>
      <c r="E22" s="52"/>
      <c r="F22" s="52"/>
      <c r="G22" s="52"/>
      <c r="H22" s="52"/>
      <c r="J22" s="64">
        <v>0</v>
      </c>
    </row>
    <row r="23" spans="1:11" x14ac:dyDescent="0.25">
      <c r="B23" s="105"/>
      <c r="C23" s="50" t="s">
        <v>16</v>
      </c>
      <c r="D23" s="67">
        <v>0</v>
      </c>
      <c r="E23" s="67">
        <v>0</v>
      </c>
      <c r="F23" s="67">
        <v>0</v>
      </c>
      <c r="G23" s="67">
        <v>0</v>
      </c>
      <c r="H23" s="67">
        <v>0</v>
      </c>
      <c r="J23" s="67">
        <v>0</v>
      </c>
    </row>
    <row r="24" spans="1:11" x14ac:dyDescent="0.25">
      <c r="B24" s="105"/>
      <c r="C24" s="51" t="s">
        <v>54</v>
      </c>
      <c r="D24" s="53"/>
      <c r="E24" s="52"/>
      <c r="F24" s="52"/>
      <c r="G24" s="52"/>
      <c r="H24" s="52"/>
      <c r="J24" s="53"/>
    </row>
    <row r="25" spans="1:11" x14ac:dyDescent="0.25">
      <c r="B25" s="105"/>
      <c r="C25" s="68"/>
      <c r="D25" s="107"/>
      <c r="E25" s="245"/>
      <c r="F25" s="68"/>
      <c r="G25" s="68"/>
      <c r="H25" s="245"/>
      <c r="J25" s="68"/>
      <c r="K25" s="151"/>
    </row>
    <row r="26" spans="1:11" x14ac:dyDescent="0.25">
      <c r="B26" s="105"/>
      <c r="C26" s="50" t="s">
        <v>17</v>
      </c>
      <c r="D26" s="67">
        <f>SUM(D25)</f>
        <v>0</v>
      </c>
      <c r="E26" s="67">
        <f t="shared" ref="E26:H26" si="0">SUM(E25)</f>
        <v>0</v>
      </c>
      <c r="F26" s="67">
        <f t="shared" si="0"/>
        <v>0</v>
      </c>
      <c r="G26" s="67">
        <f t="shared" si="0"/>
        <v>0</v>
      </c>
      <c r="H26" s="67">
        <f t="shared" si="0"/>
        <v>0</v>
      </c>
      <c r="I26" s="82"/>
      <c r="J26" s="67">
        <f>SUM(J25)</f>
        <v>0</v>
      </c>
    </row>
    <row r="27" spans="1:11" x14ac:dyDescent="0.25">
      <c r="B27" s="105"/>
      <c r="C27" s="51" t="s">
        <v>56</v>
      </c>
      <c r="D27" s="53"/>
      <c r="E27" s="53"/>
      <c r="F27" s="53"/>
      <c r="G27" s="53"/>
      <c r="H27" s="53"/>
      <c r="I27" s="43"/>
      <c r="J27" s="53"/>
    </row>
    <row r="28" spans="1:11" ht="60" x14ac:dyDescent="0.25">
      <c r="B28" s="105"/>
      <c r="C28" s="71" t="s">
        <v>74</v>
      </c>
      <c r="D28" s="154">
        <v>271607</v>
      </c>
      <c r="E28" s="154">
        <v>279755</v>
      </c>
      <c r="F28" s="154">
        <v>2288147</v>
      </c>
      <c r="G28" s="154">
        <v>6296792</v>
      </c>
      <c r="H28" s="154">
        <v>2305695</v>
      </c>
      <c r="I28" s="43"/>
      <c r="J28" s="64">
        <f>SUM(D28:H28)</f>
        <v>11441996</v>
      </c>
    </row>
    <row r="29" spans="1:11" x14ac:dyDescent="0.25">
      <c r="B29" s="106"/>
      <c r="C29" s="50" t="s">
        <v>57</v>
      </c>
      <c r="D29" s="67">
        <f>SUM(D28)</f>
        <v>271607</v>
      </c>
      <c r="E29" s="67">
        <f t="shared" ref="E29:H29" si="1">SUM(E28)</f>
        <v>279755</v>
      </c>
      <c r="F29" s="67">
        <f t="shared" si="1"/>
        <v>2288147</v>
      </c>
      <c r="G29" s="67">
        <f t="shared" si="1"/>
        <v>6296792</v>
      </c>
      <c r="H29" s="67">
        <f t="shared" si="1"/>
        <v>2305695</v>
      </c>
      <c r="I29" s="43"/>
      <c r="J29" s="67">
        <f>SUM(D29:H29)</f>
        <v>11441996</v>
      </c>
    </row>
    <row r="30" spans="1:11" x14ac:dyDescent="0.25">
      <c r="B30" s="106"/>
      <c r="C30" s="50" t="s">
        <v>19</v>
      </c>
      <c r="D30" s="67">
        <f>SUM(D9+D12+D15+D19+D23+D26+D29)</f>
        <v>271607</v>
      </c>
      <c r="E30" s="67">
        <f t="shared" ref="E30:J30" si="2">SUM(E9+E12+E15+E19+E23+E26+E29)</f>
        <v>279755</v>
      </c>
      <c r="F30" s="67">
        <f t="shared" si="2"/>
        <v>2288147</v>
      </c>
      <c r="G30" s="67">
        <f t="shared" si="2"/>
        <v>6296792</v>
      </c>
      <c r="H30" s="67">
        <f t="shared" si="2"/>
        <v>2305695</v>
      </c>
      <c r="I30" s="82">
        <f t="shared" si="2"/>
        <v>0</v>
      </c>
      <c r="J30" s="67">
        <f t="shared" si="2"/>
        <v>11441996</v>
      </c>
    </row>
    <row r="31" spans="1:11" x14ac:dyDescent="0.25">
      <c r="A31" s="261"/>
      <c r="B31" s="261"/>
      <c r="D31" s="54"/>
      <c r="E31" s="54"/>
      <c r="H31" s="65"/>
    </row>
    <row r="32" spans="1:11" ht="30" x14ac:dyDescent="0.25">
      <c r="B32" s="104" t="s">
        <v>58</v>
      </c>
      <c r="C32" s="55" t="s">
        <v>58</v>
      </c>
      <c r="D32" s="107"/>
      <c r="E32" s="68"/>
      <c r="F32" s="68"/>
      <c r="G32" s="68"/>
      <c r="H32" s="68"/>
      <c r="J32" s="68"/>
    </row>
    <row r="33" spans="1:39" x14ac:dyDescent="0.25">
      <c r="B33" s="105"/>
      <c r="C33" s="47"/>
      <c r="D33" s="53"/>
      <c r="E33" s="52"/>
      <c r="F33" s="52"/>
      <c r="G33" s="52"/>
      <c r="H33" s="52"/>
      <c r="J33" s="64">
        <v>0</v>
      </c>
    </row>
    <row r="34" spans="1:39" x14ac:dyDescent="0.25">
      <c r="B34" s="106"/>
      <c r="C34" s="50" t="s">
        <v>21</v>
      </c>
      <c r="D34" s="67">
        <v>0</v>
      </c>
      <c r="E34" s="67">
        <v>0</v>
      </c>
      <c r="F34" s="67">
        <v>0</v>
      </c>
      <c r="G34" s="67">
        <v>0</v>
      </c>
      <c r="H34" s="67">
        <v>0</v>
      </c>
      <c r="J34" s="67">
        <v>0</v>
      </c>
    </row>
    <row r="35" spans="1:39" ht="15.75" thickBot="1" x14ac:dyDescent="0.3">
      <c r="A35" s="261"/>
      <c r="B35" s="261"/>
      <c r="D35" s="54"/>
      <c r="E35" s="54"/>
      <c r="H35" s="54"/>
    </row>
    <row r="36" spans="1:39" ht="30.75" thickBot="1" x14ac:dyDescent="0.3">
      <c r="A36" s="108"/>
      <c r="B36" s="56" t="s">
        <v>22</v>
      </c>
      <c r="C36" s="56"/>
      <c r="D36" s="70">
        <f>SUM(D30+D34)</f>
        <v>271607</v>
      </c>
      <c r="E36" s="70">
        <v>279755</v>
      </c>
      <c r="F36" s="70">
        <v>2288147</v>
      </c>
      <c r="G36" s="70">
        <v>6296792</v>
      </c>
      <c r="H36" s="91">
        <v>2305695</v>
      </c>
      <c r="J36" s="92">
        <f>SUM(J30+J34)</f>
        <v>11441996</v>
      </c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</row>
    <row r="37" spans="1:39" x14ac:dyDescent="0.25">
      <c r="A37" s="261"/>
      <c r="B37" s="261"/>
      <c r="E37" s="54"/>
      <c r="H37" s="54"/>
      <c r="I37" s="261"/>
      <c r="J37" s="261"/>
    </row>
    <row r="38" spans="1:39" x14ac:dyDescent="0.25">
      <c r="A38" s="261"/>
      <c r="B38" s="261"/>
      <c r="E38" s="54"/>
      <c r="H38" s="54"/>
      <c r="I38" s="261"/>
      <c r="J38" s="261"/>
    </row>
    <row r="39" spans="1:39" x14ac:dyDescent="0.25">
      <c r="A39" s="261"/>
      <c r="B39" s="261"/>
      <c r="E39" s="54"/>
      <c r="H39" s="168"/>
      <c r="I39" s="261"/>
      <c r="J39" s="261"/>
      <c r="K39" s="168"/>
    </row>
    <row r="40" spans="1:39" s="108" customFormat="1" x14ac:dyDescent="0.25">
      <c r="A40" s="261"/>
      <c r="B40" s="261"/>
      <c r="C40" s="54"/>
      <c r="D40" s="94"/>
      <c r="E40" s="54"/>
      <c r="F40" s="54"/>
      <c r="G40" s="54"/>
      <c r="H40" s="54"/>
      <c r="I40" s="261"/>
      <c r="J40" s="261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</row>
    <row r="41" spans="1:39" x14ac:dyDescent="0.25">
      <c r="A41" s="261"/>
      <c r="B41" s="261"/>
      <c r="E41" s="54"/>
      <c r="H41" s="54"/>
      <c r="I41" s="261"/>
      <c r="J41" s="261"/>
    </row>
    <row r="42" spans="1:39" x14ac:dyDescent="0.25">
      <c r="A42" s="261"/>
      <c r="B42" s="261"/>
      <c r="E42" s="54"/>
      <c r="H42" s="54"/>
      <c r="I42" s="261"/>
      <c r="J42" s="261"/>
    </row>
    <row r="43" spans="1:39" x14ac:dyDescent="0.25">
      <c r="A43" s="261"/>
      <c r="B43" s="261"/>
      <c r="E43" s="54"/>
      <c r="H43" s="54"/>
      <c r="I43" s="261"/>
      <c r="J43" s="261"/>
    </row>
    <row r="44" spans="1:39" x14ac:dyDescent="0.25">
      <c r="A44" s="261"/>
      <c r="B44" s="261"/>
      <c r="E44" s="54"/>
      <c r="H44" s="54"/>
      <c r="I44" s="261"/>
      <c r="J44" s="261"/>
    </row>
    <row r="45" spans="1:39" x14ac:dyDescent="0.25">
      <c r="A45" s="261"/>
      <c r="B45" s="261"/>
      <c r="E45" s="54"/>
      <c r="H45" s="54"/>
      <c r="I45" s="261"/>
      <c r="J45" s="261"/>
    </row>
    <row r="46" spans="1:39" x14ac:dyDescent="0.25">
      <c r="A46" s="261"/>
      <c r="B46" s="261"/>
      <c r="E46" s="54"/>
      <c r="H46" s="54"/>
      <c r="I46" s="261"/>
      <c r="J46" s="261"/>
    </row>
    <row r="47" spans="1:39" x14ac:dyDescent="0.25">
      <c r="A47" s="261"/>
      <c r="B47" s="261"/>
      <c r="E47" s="54"/>
      <c r="H47" s="54"/>
      <c r="I47" s="261"/>
      <c r="J47" s="261"/>
    </row>
    <row r="48" spans="1:39" x14ac:dyDescent="0.25">
      <c r="A48" s="261"/>
      <c r="B48" s="261"/>
      <c r="E48" s="54"/>
      <c r="H48" s="54"/>
      <c r="I48" s="261"/>
      <c r="J48" s="261"/>
    </row>
    <row r="49" spans="1:10" x14ac:dyDescent="0.25">
      <c r="A49" s="261"/>
      <c r="B49" s="261"/>
      <c r="E49" s="54"/>
      <c r="H49" s="54"/>
      <c r="I49" s="261"/>
      <c r="J49" s="261"/>
    </row>
    <row r="50" spans="1:10" x14ac:dyDescent="0.25">
      <c r="A50" s="261"/>
      <c r="B50" s="261"/>
      <c r="E50" s="54"/>
      <c r="H50" s="54"/>
      <c r="I50" s="261"/>
      <c r="J50" s="261"/>
    </row>
    <row r="51" spans="1:10" x14ac:dyDescent="0.25">
      <c r="A51" s="261"/>
      <c r="B51" s="261"/>
      <c r="E51" s="54"/>
      <c r="H51" s="54"/>
      <c r="I51" s="261"/>
      <c r="J51" s="261"/>
    </row>
    <row r="52" spans="1:10" x14ac:dyDescent="0.25">
      <c r="B52" s="94"/>
    </row>
    <row r="53" spans="1:10" x14ac:dyDescent="0.25">
      <c r="B53" s="94"/>
    </row>
    <row r="54" spans="1:10" x14ac:dyDescent="0.25">
      <c r="B54" s="94"/>
    </row>
    <row r="55" spans="1:10" x14ac:dyDescent="0.25">
      <c r="B55" s="94"/>
    </row>
  </sheetData>
  <mergeCells count="37">
    <mergeCell ref="A51:B51"/>
    <mergeCell ref="I51:J51"/>
    <mergeCell ref="A48:B48"/>
    <mergeCell ref="I48:J48"/>
    <mergeCell ref="A49:B49"/>
    <mergeCell ref="I49:J49"/>
    <mergeCell ref="A50:B50"/>
    <mergeCell ref="I50:J50"/>
    <mergeCell ref="A45:B45"/>
    <mergeCell ref="I45:J45"/>
    <mergeCell ref="A46:B46"/>
    <mergeCell ref="I46:J46"/>
    <mergeCell ref="A47:B47"/>
    <mergeCell ref="I47:J47"/>
    <mergeCell ref="A42:B42"/>
    <mergeCell ref="I42:J42"/>
    <mergeCell ref="A43:B43"/>
    <mergeCell ref="I43:J43"/>
    <mergeCell ref="A44:B44"/>
    <mergeCell ref="I44:J44"/>
    <mergeCell ref="A39:B39"/>
    <mergeCell ref="I39:J39"/>
    <mergeCell ref="A40:B40"/>
    <mergeCell ref="I40:J40"/>
    <mergeCell ref="A41:B41"/>
    <mergeCell ref="I41:J41"/>
    <mergeCell ref="A31:B31"/>
    <mergeCell ref="A35:B35"/>
    <mergeCell ref="A37:B37"/>
    <mergeCell ref="I37:J37"/>
    <mergeCell ref="A38:B38"/>
    <mergeCell ref="I38:J38"/>
    <mergeCell ref="A1:B1"/>
    <mergeCell ref="I1:J1"/>
    <mergeCell ref="I3:J3"/>
    <mergeCell ref="A4:B4"/>
    <mergeCell ref="I4:J4"/>
  </mergeCells>
  <pageMargins left="0.7" right="0.7" top="0.75" bottom="0.75" header="0.3" footer="0.3"/>
  <pageSetup scale="8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60"/>
  <sheetViews>
    <sheetView showGridLines="0" zoomScaleNormal="100" workbookViewId="0">
      <selection activeCell="C15" sqref="C15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0.140625" customWidth="1"/>
  </cols>
  <sheetData>
    <row r="2" spans="2:39" ht="23.25" x14ac:dyDescent="0.35">
      <c r="B2" s="21" t="s">
        <v>75</v>
      </c>
    </row>
    <row r="3" spans="2:39" x14ac:dyDescent="0.25">
      <c r="B3" s="5" t="s">
        <v>39</v>
      </c>
    </row>
    <row r="4" spans="2:39" x14ac:dyDescent="0.25">
      <c r="B4" s="5"/>
    </row>
    <row r="5" spans="2:39" ht="18.75" x14ac:dyDescent="0.3">
      <c r="B5" s="26" t="s">
        <v>2</v>
      </c>
      <c r="C5" s="27"/>
      <c r="D5" s="27"/>
      <c r="E5" s="27"/>
      <c r="F5" s="27"/>
      <c r="G5" s="27"/>
      <c r="H5" s="27"/>
      <c r="I5" s="27"/>
      <c r="J5" s="28"/>
    </row>
    <row r="6" spans="2:39" ht="30" x14ac:dyDescent="0.25">
      <c r="B6" s="29" t="s">
        <v>3</v>
      </c>
      <c r="C6" s="29" t="s">
        <v>4</v>
      </c>
      <c r="D6" s="29" t="s">
        <v>5</v>
      </c>
      <c r="E6" s="30" t="s">
        <v>6</v>
      </c>
      <c r="F6" s="30" t="s">
        <v>7</v>
      </c>
      <c r="G6" s="30" t="s">
        <v>8</v>
      </c>
      <c r="H6" s="31" t="s">
        <v>9</v>
      </c>
      <c r="I6" s="32"/>
      <c r="J6" s="33" t="s">
        <v>10</v>
      </c>
    </row>
    <row r="7" spans="2:39" s="5" customFormat="1" ht="30" x14ac:dyDescent="0.25">
      <c r="B7" s="45" t="s">
        <v>11</v>
      </c>
      <c r="C7" s="19" t="s">
        <v>40</v>
      </c>
      <c r="D7" s="10" t="s">
        <v>41</v>
      </c>
      <c r="E7" s="10" t="s">
        <v>41</v>
      </c>
      <c r="F7" s="10" t="s">
        <v>41</v>
      </c>
      <c r="G7" s="10"/>
      <c r="H7" s="10" t="s">
        <v>41</v>
      </c>
      <c r="I7" s="7"/>
      <c r="J7" s="8" t="s">
        <v>41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45" x14ac:dyDescent="0.25">
      <c r="B8" s="16"/>
      <c r="C8" s="71" t="s">
        <v>76</v>
      </c>
      <c r="D8" s="64">
        <v>28156.010000000002</v>
      </c>
      <c r="E8" s="64">
        <v>19096.776800000003</v>
      </c>
      <c r="F8" s="64">
        <v>15066.137952000001</v>
      </c>
      <c r="G8" s="64">
        <v>15518.122090560002</v>
      </c>
      <c r="H8" s="64">
        <v>20645.568264649202</v>
      </c>
      <c r="I8" s="54"/>
      <c r="J8" s="64">
        <f>SUM(D8:H8)</f>
        <v>98482.615107209218</v>
      </c>
    </row>
    <row r="9" spans="2:39" ht="45" x14ac:dyDescent="0.25">
      <c r="B9" s="16"/>
      <c r="C9" s="71" t="s">
        <v>77</v>
      </c>
      <c r="D9" s="64">
        <v>7291</v>
      </c>
      <c r="E9" s="64">
        <v>11640.0815</v>
      </c>
      <c r="F9" s="64">
        <v>11138.431536000002</v>
      </c>
      <c r="G9" s="64">
        <v>11472.584482080003</v>
      </c>
      <c r="H9" s="64">
        <v>14770.952520678002</v>
      </c>
      <c r="I9" s="54"/>
      <c r="J9" s="64">
        <f t="shared" ref="J9:J20" si="0">SUM(D9:H9)</f>
        <v>56313.05003875801</v>
      </c>
    </row>
    <row r="10" spans="2:39" ht="45" x14ac:dyDescent="0.25">
      <c r="B10" s="16"/>
      <c r="C10" s="71" t="s">
        <v>78</v>
      </c>
      <c r="D10" s="64">
        <v>0</v>
      </c>
      <c r="E10" s="64">
        <v>741.22919999999999</v>
      </c>
      <c r="F10" s="64">
        <v>254.48869200000001</v>
      </c>
      <c r="G10" s="64">
        <v>262.12335276000005</v>
      </c>
      <c r="H10" s="64">
        <v>539.97410668560008</v>
      </c>
      <c r="I10" s="54"/>
      <c r="J10" s="64">
        <f t="shared" si="0"/>
        <v>1797.8153514456003</v>
      </c>
    </row>
    <row r="11" spans="2:39" ht="45" x14ac:dyDescent="0.25">
      <c r="B11" s="16"/>
      <c r="C11" s="71" t="s">
        <v>79</v>
      </c>
      <c r="D11" s="64">
        <v>0</v>
      </c>
      <c r="E11" s="64">
        <v>426.66720000000004</v>
      </c>
      <c r="F11" s="64">
        <v>439.46721600000006</v>
      </c>
      <c r="G11" s="64">
        <v>905.30246496000018</v>
      </c>
      <c r="H11" s="64">
        <v>1864.9230778176004</v>
      </c>
      <c r="I11" s="54"/>
      <c r="J11" s="64">
        <f t="shared" si="0"/>
        <v>3636.3599587776007</v>
      </c>
    </row>
    <row r="12" spans="2:39" ht="30" x14ac:dyDescent="0.25">
      <c r="B12" s="16"/>
      <c r="C12" s="71" t="s">
        <v>80</v>
      </c>
      <c r="D12" s="64">
        <v>0</v>
      </c>
      <c r="E12" s="64">
        <v>1285.2340000000002</v>
      </c>
      <c r="F12" s="64">
        <v>264.75820400000003</v>
      </c>
      <c r="G12" s="64">
        <v>272.70095012000002</v>
      </c>
      <c r="H12" s="64">
        <v>1404.4098931180001</v>
      </c>
      <c r="I12" s="54"/>
      <c r="J12" s="64">
        <f t="shared" si="0"/>
        <v>3227.1030472380003</v>
      </c>
    </row>
    <row r="13" spans="2:39" ht="45" x14ac:dyDescent="0.25">
      <c r="B13" s="16"/>
      <c r="C13" s="71" t="s">
        <v>81</v>
      </c>
      <c r="D13" s="64">
        <v>0</v>
      </c>
      <c r="E13" s="64">
        <v>2026.2572000000002</v>
      </c>
      <c r="F13" s="64">
        <v>189.73135600000003</v>
      </c>
      <c r="G13" s="64">
        <v>195.42329668000005</v>
      </c>
      <c r="H13" s="64">
        <v>1006.4299779020002</v>
      </c>
      <c r="I13" s="54"/>
      <c r="J13" s="64">
        <f t="shared" si="0"/>
        <v>3417.8418305820005</v>
      </c>
    </row>
    <row r="14" spans="2:39" ht="45" x14ac:dyDescent="0.25">
      <c r="B14" s="16"/>
      <c r="C14" s="71" t="s">
        <v>82</v>
      </c>
      <c r="D14" s="64">
        <v>583.28</v>
      </c>
      <c r="E14" s="64">
        <v>300.38920000000002</v>
      </c>
      <c r="F14" s="64">
        <v>309.40087600000004</v>
      </c>
      <c r="G14" s="64">
        <v>318.68290228000006</v>
      </c>
      <c r="H14" s="64">
        <v>1969.4603360904002</v>
      </c>
      <c r="I14" s="54"/>
      <c r="J14" s="64">
        <f t="shared" si="0"/>
        <v>3481.2133143704004</v>
      </c>
    </row>
    <row r="15" spans="2:39" ht="45" x14ac:dyDescent="0.25">
      <c r="B15" s="16"/>
      <c r="C15" s="71" t="s">
        <v>83</v>
      </c>
      <c r="D15" s="64">
        <v>2792.7000000000003</v>
      </c>
      <c r="E15" s="64">
        <v>0</v>
      </c>
      <c r="F15" s="64">
        <v>0</v>
      </c>
      <c r="G15" s="64">
        <v>0</v>
      </c>
      <c r="H15" s="64">
        <v>0</v>
      </c>
      <c r="I15" s="54"/>
      <c r="J15" s="64">
        <f t="shared" si="0"/>
        <v>2792.7000000000003</v>
      </c>
    </row>
    <row r="16" spans="2:39" ht="45" x14ac:dyDescent="0.25">
      <c r="B16" s="16"/>
      <c r="C16" s="71" t="s">
        <v>84</v>
      </c>
      <c r="D16" s="64">
        <v>1929.3600000000001</v>
      </c>
      <c r="E16" s="64">
        <v>0</v>
      </c>
      <c r="F16" s="64">
        <v>0</v>
      </c>
      <c r="G16" s="64">
        <v>0</v>
      </c>
      <c r="H16" s="64">
        <v>0</v>
      </c>
      <c r="I16" s="54"/>
      <c r="J16" s="64">
        <f t="shared" si="0"/>
        <v>1929.3600000000001</v>
      </c>
    </row>
    <row r="17" spans="2:10" ht="30" x14ac:dyDescent="0.25">
      <c r="B17" s="16"/>
      <c r="C17" s="71" t="s">
        <v>85</v>
      </c>
      <c r="D17" s="64">
        <v>0</v>
      </c>
      <c r="E17" s="64">
        <v>566.82960000000003</v>
      </c>
      <c r="F17" s="64">
        <v>583.83448800000008</v>
      </c>
      <c r="G17" s="64">
        <v>601.34952264000015</v>
      </c>
      <c r="H17" s="64">
        <v>1238.7800166384004</v>
      </c>
      <c r="I17" s="54"/>
      <c r="J17" s="64">
        <f t="shared" si="0"/>
        <v>2990.7936272784004</v>
      </c>
    </row>
    <row r="18" spans="2:10" ht="45" x14ac:dyDescent="0.25">
      <c r="B18" s="16"/>
      <c r="C18" s="71" t="s">
        <v>86</v>
      </c>
      <c r="D18" s="64">
        <v>1511.28</v>
      </c>
      <c r="E18" s="64">
        <v>648.59100000000001</v>
      </c>
      <c r="F18" s="64">
        <v>668.04872999999998</v>
      </c>
      <c r="G18" s="64">
        <v>688.09019190000004</v>
      </c>
      <c r="H18" s="64">
        <v>3401.9179087536004</v>
      </c>
      <c r="I18" s="54"/>
      <c r="J18" s="64">
        <f t="shared" si="0"/>
        <v>6917.9278306536007</v>
      </c>
    </row>
    <row r="19" spans="2:10" ht="30" x14ac:dyDescent="0.25">
      <c r="B19" s="16"/>
      <c r="C19" s="71" t="s">
        <v>87</v>
      </c>
      <c r="D19" s="64">
        <v>469.5</v>
      </c>
      <c r="E19" s="64">
        <v>0</v>
      </c>
      <c r="F19" s="64">
        <v>0</v>
      </c>
      <c r="G19" s="64">
        <v>0</v>
      </c>
      <c r="H19" s="64">
        <v>0</v>
      </c>
      <c r="I19" s="54"/>
      <c r="J19" s="64">
        <f t="shared" si="0"/>
        <v>469.5</v>
      </c>
    </row>
    <row r="20" spans="2:10" x14ac:dyDescent="0.25">
      <c r="B20" s="16"/>
      <c r="C20" s="50" t="s">
        <v>43</v>
      </c>
      <c r="D20" s="67">
        <f>SUM(D8:D19)</f>
        <v>42733.13</v>
      </c>
      <c r="E20" s="67">
        <f t="shared" ref="E20:H20" si="1">SUM(E8:E19)</f>
        <v>36732.055699999997</v>
      </c>
      <c r="F20" s="67">
        <f t="shared" si="1"/>
        <v>28914.299050000001</v>
      </c>
      <c r="G20" s="67">
        <f t="shared" si="1"/>
        <v>30234.379253980009</v>
      </c>
      <c r="H20" s="67">
        <f t="shared" si="1"/>
        <v>46842.416102332805</v>
      </c>
      <c r="I20" s="54"/>
      <c r="J20" s="78">
        <f t="shared" si="0"/>
        <v>185456.28010631283</v>
      </c>
    </row>
    <row r="21" spans="2:10" x14ac:dyDescent="0.25">
      <c r="B21" s="16"/>
      <c r="C21" s="51" t="s">
        <v>44</v>
      </c>
      <c r="D21" s="53" t="s">
        <v>41</v>
      </c>
      <c r="E21" s="52"/>
      <c r="F21" s="52"/>
      <c r="G21" s="52"/>
      <c r="H21" s="52"/>
      <c r="I21" s="54"/>
      <c r="J21" s="68" t="s">
        <v>41</v>
      </c>
    </row>
    <row r="22" spans="2:10" ht="30" x14ac:dyDescent="0.25">
      <c r="B22" s="16"/>
      <c r="C22" s="71" t="s">
        <v>45</v>
      </c>
      <c r="D22" s="64">
        <f>D20*75.93%</f>
        <v>32447.265609000002</v>
      </c>
      <c r="E22" s="64">
        <f t="shared" ref="E22:H22" si="2">E20*75.93%</f>
        <v>27890.649893010002</v>
      </c>
      <c r="F22" s="64">
        <f t="shared" si="2"/>
        <v>21954.627268665005</v>
      </c>
      <c r="G22" s="64">
        <f t="shared" si="2"/>
        <v>22956.964167547023</v>
      </c>
      <c r="H22" s="64">
        <f t="shared" si="2"/>
        <v>35567.446546501305</v>
      </c>
      <c r="I22" s="54"/>
      <c r="J22" s="64">
        <f>SUM(D22:H22)</f>
        <v>140816.95348472334</v>
      </c>
    </row>
    <row r="23" spans="2:10" x14ac:dyDescent="0.25">
      <c r="B23" s="16"/>
      <c r="C23" s="50" t="s">
        <v>13</v>
      </c>
      <c r="D23" s="67">
        <f>SUM(D22:D22)</f>
        <v>32447.265609000002</v>
      </c>
      <c r="E23" s="67">
        <f>SUM(E22:E22)</f>
        <v>27890.649893010002</v>
      </c>
      <c r="F23" s="67">
        <f>SUM(F22:F22)</f>
        <v>21954.627268665005</v>
      </c>
      <c r="G23" s="67">
        <f>SUM(G22:G22)</f>
        <v>22956.964167547023</v>
      </c>
      <c r="H23" s="67">
        <f>SUM(H22:H22)</f>
        <v>35567.446546501305</v>
      </c>
      <c r="I23" s="54"/>
      <c r="J23" s="67">
        <f>SUM(J22:J22)</f>
        <v>140816.95348472334</v>
      </c>
    </row>
    <row r="24" spans="2:10" x14ac:dyDescent="0.25">
      <c r="B24" s="16"/>
      <c r="C24" s="51" t="s">
        <v>46</v>
      </c>
      <c r="D24" s="53" t="s">
        <v>41</v>
      </c>
      <c r="E24" s="52"/>
      <c r="F24" s="52"/>
      <c r="G24" s="52"/>
      <c r="H24" s="52"/>
      <c r="I24" s="54"/>
      <c r="J24" s="68" t="s">
        <v>41</v>
      </c>
    </row>
    <row r="25" spans="2:10" x14ac:dyDescent="0.25">
      <c r="B25" s="16"/>
      <c r="C25" s="47"/>
      <c r="D25" s="64"/>
      <c r="E25" s="64"/>
      <c r="F25" s="64"/>
      <c r="G25" s="64"/>
      <c r="H25" s="64"/>
      <c r="I25" s="65"/>
      <c r="J25" s="64">
        <f t="shared" ref="J25" si="3">SUM(D25:H25)</f>
        <v>0</v>
      </c>
    </row>
    <row r="26" spans="2:10" x14ac:dyDescent="0.25">
      <c r="B26" s="16"/>
      <c r="C26" s="50" t="s">
        <v>14</v>
      </c>
      <c r="D26" s="67">
        <f>SUM(D25:D25)</f>
        <v>0</v>
      </c>
      <c r="E26" s="67">
        <f>SUM(E25:E25)</f>
        <v>0</v>
      </c>
      <c r="F26" s="67">
        <f>SUM(F25:F25)</f>
        <v>0</v>
      </c>
      <c r="G26" s="67">
        <f>SUM(G25:G25)</f>
        <v>0</v>
      </c>
      <c r="H26" s="67">
        <f>SUM(H25:H25)</f>
        <v>0</v>
      </c>
      <c r="I26" s="54"/>
      <c r="J26" s="67">
        <f>SUM(J25:J25)</f>
        <v>0</v>
      </c>
    </row>
    <row r="27" spans="2:10" x14ac:dyDescent="0.25">
      <c r="B27" s="16"/>
      <c r="C27" s="51" t="s">
        <v>52</v>
      </c>
      <c r="D27" s="64"/>
      <c r="E27" s="52"/>
      <c r="F27" s="52"/>
      <c r="G27" s="52"/>
      <c r="H27" s="52"/>
      <c r="I27" s="54"/>
      <c r="J27" s="64" t="s">
        <v>20</v>
      </c>
    </row>
    <row r="28" spans="2:10" x14ac:dyDescent="0.25">
      <c r="B28" s="16" t="s">
        <v>66</v>
      </c>
      <c r="C28" s="53" t="s">
        <v>66</v>
      </c>
      <c r="D28" s="53" t="s">
        <v>41</v>
      </c>
      <c r="E28" s="52"/>
      <c r="F28" s="52"/>
      <c r="G28" s="52"/>
      <c r="H28" s="52"/>
      <c r="I28" s="54"/>
      <c r="J28" s="64">
        <f t="shared" ref="J28:J31" si="4">SUM(D28:H28)</f>
        <v>0</v>
      </c>
    </row>
    <row r="29" spans="2:10" x14ac:dyDescent="0.25">
      <c r="B29" s="16"/>
      <c r="C29" s="50" t="s">
        <v>15</v>
      </c>
      <c r="D29" s="69">
        <f>SUM(D28:D28)</f>
        <v>0</v>
      </c>
      <c r="E29" s="69">
        <f>SUM(E28:E28)</f>
        <v>0</v>
      </c>
      <c r="F29" s="69">
        <f>SUM(F28:F28)</f>
        <v>0</v>
      </c>
      <c r="G29" s="69">
        <f>SUM(G28:G28)</f>
        <v>0</v>
      </c>
      <c r="H29" s="69">
        <f>SUM(H28:H28)</f>
        <v>0</v>
      </c>
      <c r="I29" s="54"/>
      <c r="J29" s="67">
        <f>SUM(J28:J28)</f>
        <v>0</v>
      </c>
    </row>
    <row r="30" spans="2:10" x14ac:dyDescent="0.25">
      <c r="B30" s="16"/>
      <c r="C30" s="51" t="s">
        <v>53</v>
      </c>
      <c r="D30" s="53" t="s">
        <v>41</v>
      </c>
      <c r="E30" s="52"/>
      <c r="F30" s="52"/>
      <c r="G30" s="52"/>
      <c r="H30" s="52"/>
      <c r="I30" s="54"/>
      <c r="J30" s="64"/>
    </row>
    <row r="31" spans="2:10" x14ac:dyDescent="0.25">
      <c r="B31" s="16"/>
      <c r="C31" s="47"/>
      <c r="D31" s="64"/>
      <c r="E31" s="66"/>
      <c r="F31" s="66"/>
      <c r="G31" s="66"/>
      <c r="H31" s="66"/>
      <c r="I31" s="54"/>
      <c r="J31" s="64">
        <f t="shared" si="4"/>
        <v>0</v>
      </c>
    </row>
    <row r="32" spans="2:10" x14ac:dyDescent="0.25">
      <c r="B32" s="16"/>
      <c r="C32" s="50" t="s">
        <v>16</v>
      </c>
      <c r="D32" s="67">
        <f>SUM(D31:D31)</f>
        <v>0</v>
      </c>
      <c r="E32" s="67">
        <f>SUM(E31:E31)</f>
        <v>0</v>
      </c>
      <c r="F32" s="67">
        <f>SUM(F31:F31)</f>
        <v>0</v>
      </c>
      <c r="G32" s="67">
        <f>SUM(G31:G31)</f>
        <v>0</v>
      </c>
      <c r="H32" s="67">
        <f>SUM(H31:H31)</f>
        <v>0</v>
      </c>
      <c r="I32" s="54"/>
      <c r="J32" s="67">
        <f>SUM(J31:J31)</f>
        <v>0</v>
      </c>
    </row>
    <row r="33" spans="2:12" x14ac:dyDescent="0.25">
      <c r="B33" s="16"/>
      <c r="C33" s="51" t="s">
        <v>54</v>
      </c>
      <c r="D33" s="53" t="s">
        <v>41</v>
      </c>
      <c r="E33" s="52"/>
      <c r="F33" s="52"/>
      <c r="G33" s="52"/>
      <c r="H33" s="52"/>
      <c r="I33" s="54"/>
      <c r="J33" s="64"/>
    </row>
    <row r="34" spans="2:12" ht="120" x14ac:dyDescent="0.25">
      <c r="B34" s="16"/>
      <c r="C34" s="71" t="s">
        <v>88</v>
      </c>
      <c r="D34" s="64"/>
      <c r="E34" s="64"/>
      <c r="F34" s="64"/>
      <c r="G34" s="64">
        <f>0.67*J34</f>
        <v>38592</v>
      </c>
      <c r="H34" s="64">
        <f>0.33*J34</f>
        <v>19008</v>
      </c>
      <c r="I34" s="65"/>
      <c r="J34" s="64">
        <v>57600</v>
      </c>
    </row>
    <row r="35" spans="2:12" x14ac:dyDescent="0.25">
      <c r="B35" s="16"/>
      <c r="C35" s="50" t="s">
        <v>17</v>
      </c>
      <c r="D35" s="67">
        <f>SUM(D34:D34)</f>
        <v>0</v>
      </c>
      <c r="E35" s="67">
        <f>SUM(E34:E34)</f>
        <v>0</v>
      </c>
      <c r="F35" s="67">
        <f>SUM(F34:F34)</f>
        <v>0</v>
      </c>
      <c r="G35" s="67">
        <f>SUM(G34:G34)</f>
        <v>38592</v>
      </c>
      <c r="H35" s="67">
        <f>SUM(H34:H34)</f>
        <v>19008</v>
      </c>
      <c r="I35" s="54"/>
      <c r="J35" s="67">
        <f>SUM(J34:J34)</f>
        <v>57600</v>
      </c>
    </row>
    <row r="36" spans="2:12" x14ac:dyDescent="0.25">
      <c r="B36" s="16"/>
      <c r="C36" s="51" t="s">
        <v>56</v>
      </c>
      <c r="D36" s="53" t="s">
        <v>41</v>
      </c>
      <c r="E36" s="52"/>
      <c r="F36" s="52"/>
      <c r="G36" s="52"/>
      <c r="H36" s="52"/>
      <c r="I36" s="54"/>
      <c r="J36" s="64"/>
    </row>
    <row r="37" spans="2:12" ht="105" x14ac:dyDescent="0.25">
      <c r="B37" s="16"/>
      <c r="C37" s="214" t="s">
        <v>89</v>
      </c>
      <c r="D37" s="64"/>
      <c r="E37" s="66">
        <f>0.15*J37</f>
        <v>6105620.7000000002</v>
      </c>
      <c r="F37" s="66">
        <f>0.25*J37</f>
        <v>10176034.5</v>
      </c>
      <c r="G37" s="66">
        <f>0.35*J37</f>
        <v>14246448.299999999</v>
      </c>
      <c r="H37" s="66">
        <f>0.25*J37</f>
        <v>10176034.5</v>
      </c>
      <c r="I37" s="54"/>
      <c r="J37" s="64">
        <v>40704138</v>
      </c>
      <c r="L37" s="155"/>
    </row>
    <row r="38" spans="2:12" x14ac:dyDescent="0.25">
      <c r="B38" s="17"/>
      <c r="C38" s="50" t="s">
        <v>57</v>
      </c>
      <c r="D38" s="67">
        <f>SUM(D37:D37)</f>
        <v>0</v>
      </c>
      <c r="E38" s="67">
        <f>SUM(E37:E37)</f>
        <v>6105620.7000000002</v>
      </c>
      <c r="F38" s="67">
        <f>SUM(F37:F37)</f>
        <v>10176034.5</v>
      </c>
      <c r="G38" s="67">
        <f>SUM(G37:G37)</f>
        <v>14246448.299999999</v>
      </c>
      <c r="H38" s="67">
        <f>SUM(H37:H37)</f>
        <v>10176034.5</v>
      </c>
      <c r="I38" s="54"/>
      <c r="J38" s="67">
        <f>SUM(J37:J37)</f>
        <v>40704138</v>
      </c>
    </row>
    <row r="39" spans="2:12" x14ac:dyDescent="0.25">
      <c r="B39" s="17"/>
      <c r="C39" s="50" t="s">
        <v>19</v>
      </c>
      <c r="D39" s="67">
        <f>SUM(D38,D35,D32,D29,D26,D23,D20)</f>
        <v>75180.395608999999</v>
      </c>
      <c r="E39" s="67">
        <f>SUM(E38,E35,E32,E29,E26,E23,E20)</f>
        <v>6170243.4055930106</v>
      </c>
      <c r="F39" s="67">
        <f>SUM(F38,F35,F32,F29,F26,F23,F20)</f>
        <v>10226903.426318664</v>
      </c>
      <c r="G39" s="67">
        <f>SUM(G38,G35,G32,G29,G26,G23,G20)</f>
        <v>14338231.643421525</v>
      </c>
      <c r="H39" s="67">
        <f>SUM(H38,H35,H32,H29,H26,H23,H20)</f>
        <v>10277452.362648834</v>
      </c>
      <c r="I39" s="54"/>
      <c r="J39" s="67">
        <f>J20+J23+J26+J29+J32+J35+J38</f>
        <v>41088011.233591035</v>
      </c>
    </row>
    <row r="40" spans="2:12" x14ac:dyDescent="0.25">
      <c r="B40" s="6"/>
      <c r="C40" s="54"/>
      <c r="D40" s="54"/>
      <c r="E40" s="54"/>
      <c r="F40" s="54"/>
      <c r="G40" s="54"/>
      <c r="H40" s="65"/>
      <c r="I40" s="54"/>
      <c r="J40" s="54" t="s">
        <v>20</v>
      </c>
    </row>
    <row r="41" spans="2:12" ht="30" x14ac:dyDescent="0.25">
      <c r="B41" s="45" t="s">
        <v>58</v>
      </c>
      <c r="C41" s="55" t="s">
        <v>58</v>
      </c>
      <c r="D41" s="68"/>
      <c r="E41" s="68"/>
      <c r="F41" s="68"/>
      <c r="G41" s="68"/>
      <c r="H41" s="68"/>
      <c r="I41" s="54"/>
      <c r="J41" s="68" t="s">
        <v>20</v>
      </c>
    </row>
    <row r="42" spans="2:12" ht="45" x14ac:dyDescent="0.25">
      <c r="B42" s="16"/>
      <c r="C42" s="71" t="s">
        <v>90</v>
      </c>
      <c r="D42" s="64">
        <f>D20*112.65%</f>
        <v>48138.870945000002</v>
      </c>
      <c r="E42" s="64">
        <f>E20*112.65%</f>
        <v>41378.660746050002</v>
      </c>
      <c r="F42" s="64">
        <f>F20*112.65%</f>
        <v>32571.957879825004</v>
      </c>
      <c r="G42" s="64">
        <f>G20*112.65%</f>
        <v>34059.028229608484</v>
      </c>
      <c r="H42" s="64">
        <f>H20*112.65%</f>
        <v>52767.981739277908</v>
      </c>
      <c r="I42" s="54"/>
      <c r="J42" s="64">
        <f>SUM(D42:H42)</f>
        <v>208916.4995397614</v>
      </c>
    </row>
    <row r="43" spans="2:12" x14ac:dyDescent="0.25">
      <c r="B43" s="17"/>
      <c r="C43" s="50" t="s">
        <v>21</v>
      </c>
      <c r="D43" s="67">
        <f>SUM(D42:D42)</f>
        <v>48138.870945000002</v>
      </c>
      <c r="E43" s="67">
        <f>SUM(E42:E42)</f>
        <v>41378.660746050002</v>
      </c>
      <c r="F43" s="67">
        <f>SUM(F42:F42)</f>
        <v>32571.957879825004</v>
      </c>
      <c r="G43" s="67">
        <f>SUM(G42:G42)</f>
        <v>34059.028229608484</v>
      </c>
      <c r="H43" s="67">
        <f>SUM(H42:H42)</f>
        <v>52767.981739277908</v>
      </c>
      <c r="I43" s="54"/>
      <c r="J43" s="67">
        <f>SUM(J42:J42)</f>
        <v>208916.4995397614</v>
      </c>
    </row>
    <row r="44" spans="2:12" ht="15.75" thickBot="1" x14ac:dyDescent="0.3">
      <c r="B44" s="6"/>
      <c r="C44" s="54"/>
      <c r="D44" s="54"/>
      <c r="E44" s="54"/>
      <c r="F44" s="54"/>
      <c r="G44" s="54"/>
      <c r="H44" s="54"/>
      <c r="I44" s="54"/>
      <c r="J44" s="54" t="s">
        <v>20</v>
      </c>
    </row>
    <row r="45" spans="2:12" s="1" customFormat="1" ht="30.75" thickBot="1" x14ac:dyDescent="0.3">
      <c r="B45" s="13" t="s">
        <v>22</v>
      </c>
      <c r="C45" s="56"/>
      <c r="D45" s="70">
        <f>SUM(D43,D39)</f>
        <v>123319.266554</v>
      </c>
      <c r="E45" s="70">
        <f>SUM(E43,E39)</f>
        <v>6211622.0663390607</v>
      </c>
      <c r="F45" s="70">
        <f>SUM(F43,F39)</f>
        <v>10259475.384198489</v>
      </c>
      <c r="G45" s="70">
        <f>SUM(G43,G39)</f>
        <v>14372290.671651134</v>
      </c>
      <c r="H45" s="70">
        <f>SUM(H43,H39)</f>
        <v>10330220.344388111</v>
      </c>
      <c r="I45" s="54"/>
      <c r="J45" s="70">
        <f>SUM(J43,J39)</f>
        <v>41296927.733130798</v>
      </c>
    </row>
    <row r="46" spans="2:12" x14ac:dyDescent="0.25">
      <c r="B46" s="6"/>
      <c r="L46" s="25"/>
    </row>
    <row r="47" spans="2:12" x14ac:dyDescent="0.25">
      <c r="B47" s="6"/>
    </row>
    <row r="48" spans="2:12" x14ac:dyDescent="0.25">
      <c r="B48" s="6"/>
    </row>
    <row r="49" spans="2:2" x14ac:dyDescent="0.25">
      <c r="B49" s="6"/>
    </row>
    <row r="50" spans="2:2" x14ac:dyDescent="0.25">
      <c r="B50" s="6"/>
    </row>
    <row r="51" spans="2:2" x14ac:dyDescent="0.25">
      <c r="B51" s="6"/>
    </row>
    <row r="52" spans="2:2" x14ac:dyDescent="0.25">
      <c r="B52" s="6"/>
    </row>
    <row r="53" spans="2:2" x14ac:dyDescent="0.25">
      <c r="B53" s="6"/>
    </row>
    <row r="54" spans="2:2" x14ac:dyDescent="0.25">
      <c r="B54" s="6"/>
    </row>
    <row r="55" spans="2:2" x14ac:dyDescent="0.25">
      <c r="B55" s="6"/>
    </row>
    <row r="56" spans="2:2" x14ac:dyDescent="0.25">
      <c r="B56" s="6"/>
    </row>
    <row r="57" spans="2:2" x14ac:dyDescent="0.25">
      <c r="B57" s="6"/>
    </row>
    <row r="58" spans="2:2" x14ac:dyDescent="0.25">
      <c r="B58" s="6"/>
    </row>
    <row r="59" spans="2:2" x14ac:dyDescent="0.25">
      <c r="B59" s="6"/>
    </row>
    <row r="60" spans="2:2" x14ac:dyDescent="0.25">
      <c r="B60" s="6"/>
    </row>
  </sheetData>
  <pageMargins left="0.7" right="0.7" top="0.75" bottom="0.75" header="0.3" footer="0.3"/>
  <pageSetup scale="8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A4C0F-8335-4B0B-82ED-3436D07C4BCE}">
  <sheetPr>
    <tabColor theme="9" tint="0.39997558519241921"/>
    <pageSetUpPr fitToPage="1"/>
  </sheetPr>
  <dimension ref="B2:AM56"/>
  <sheetViews>
    <sheetView showGridLines="0" zoomScaleNormal="100" workbookViewId="0">
      <selection activeCell="H2" sqref="H2:M2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1.5703125" style="7" customWidth="1"/>
    <col min="10" max="10" width="13.5703125" customWidth="1"/>
    <col min="11" max="11" width="14" bestFit="1" customWidth="1"/>
  </cols>
  <sheetData>
    <row r="2" spans="2:39" ht="23.25" x14ac:dyDescent="0.35">
      <c r="B2" s="21" t="s">
        <v>91</v>
      </c>
      <c r="H2" s="274"/>
      <c r="I2" s="275"/>
      <c r="J2" s="273"/>
      <c r="K2" s="273"/>
      <c r="L2" s="273"/>
      <c r="M2" s="273"/>
    </row>
    <row r="3" spans="2:39" x14ac:dyDescent="0.25">
      <c r="B3" s="43" t="s">
        <v>39</v>
      </c>
    </row>
    <row r="4" spans="2:39" x14ac:dyDescent="0.25">
      <c r="B4" s="5"/>
    </row>
    <row r="5" spans="2:39" ht="18.75" x14ac:dyDescent="0.3">
      <c r="B5" s="26" t="s">
        <v>2</v>
      </c>
      <c r="C5" s="27"/>
      <c r="D5" s="27"/>
      <c r="E5" s="27"/>
      <c r="F5" s="27"/>
      <c r="G5" s="27"/>
      <c r="H5" s="209"/>
      <c r="I5" s="205"/>
      <c r="J5" s="205"/>
    </row>
    <row r="6" spans="2:39" x14ac:dyDescent="0.25">
      <c r="B6" s="29" t="s">
        <v>3</v>
      </c>
      <c r="C6" s="29" t="s">
        <v>4</v>
      </c>
      <c r="D6" s="29" t="s">
        <v>5</v>
      </c>
      <c r="E6" s="30" t="s">
        <v>6</v>
      </c>
      <c r="F6" s="30" t="s">
        <v>7</v>
      </c>
      <c r="G6" s="175" t="s">
        <v>8</v>
      </c>
      <c r="H6" s="204" t="s">
        <v>9</v>
      </c>
      <c r="I6" s="204"/>
      <c r="J6" s="207" t="s">
        <v>10</v>
      </c>
    </row>
    <row r="7" spans="2:39" s="5" customFormat="1" ht="14.45" customHeight="1" x14ac:dyDescent="0.25">
      <c r="B7" s="263" t="s">
        <v>11</v>
      </c>
      <c r="C7" s="19" t="s">
        <v>40</v>
      </c>
      <c r="D7" s="10" t="s">
        <v>41</v>
      </c>
      <c r="E7" s="10" t="s">
        <v>41</v>
      </c>
      <c r="F7" s="10" t="s">
        <v>41</v>
      </c>
      <c r="G7" s="186"/>
      <c r="H7" s="210" t="s">
        <v>41</v>
      </c>
      <c r="I7" s="7"/>
      <c r="J7" s="211" t="s">
        <v>41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64"/>
      <c r="C8" s="128" t="s">
        <v>92</v>
      </c>
      <c r="D8" s="154">
        <v>0</v>
      </c>
      <c r="E8" s="123">
        <v>0</v>
      </c>
      <c r="F8" s="64">
        <v>22781</v>
      </c>
      <c r="G8" s="177">
        <v>23465</v>
      </c>
      <c r="H8" s="64">
        <v>24169</v>
      </c>
      <c r="I8" s="43"/>
      <c r="J8" s="64">
        <f>SUM(D8:H8)</f>
        <v>70415</v>
      </c>
    </row>
    <row r="9" spans="2:39" ht="30" x14ac:dyDescent="0.25">
      <c r="B9" s="264"/>
      <c r="C9" s="128" t="s">
        <v>93</v>
      </c>
      <c r="D9" s="154">
        <v>0</v>
      </c>
      <c r="E9" s="123">
        <v>0</v>
      </c>
      <c r="F9" s="64">
        <v>2734</v>
      </c>
      <c r="G9" s="177">
        <v>2816</v>
      </c>
      <c r="H9" s="64">
        <v>2900</v>
      </c>
      <c r="I9" s="43"/>
      <c r="J9" s="64">
        <f t="shared" ref="J9:J10" si="0">SUM(D9:H9)</f>
        <v>8450</v>
      </c>
    </row>
    <row r="10" spans="2:39" ht="30" x14ac:dyDescent="0.25">
      <c r="B10" s="264"/>
      <c r="C10" s="71" t="s">
        <v>94</v>
      </c>
      <c r="D10" s="154">
        <v>5544</v>
      </c>
      <c r="E10" s="154">
        <v>8754</v>
      </c>
      <c r="F10" s="154">
        <v>11964</v>
      </c>
      <c r="G10" s="208">
        <v>15174</v>
      </c>
      <c r="H10" s="154">
        <v>18383</v>
      </c>
      <c r="I10" s="43"/>
      <c r="J10" s="64">
        <f t="shared" si="0"/>
        <v>59819</v>
      </c>
    </row>
    <row r="11" spans="2:39" x14ac:dyDescent="0.25">
      <c r="B11" s="264"/>
      <c r="C11" s="50" t="s">
        <v>43</v>
      </c>
      <c r="D11" s="67">
        <f>SUM(D8:D10)</f>
        <v>5544</v>
      </c>
      <c r="E11" s="67">
        <f t="shared" ref="E11:I11" si="1">SUM(E8:E10)</f>
        <v>8754</v>
      </c>
      <c r="F11" s="67">
        <f t="shared" si="1"/>
        <v>37479</v>
      </c>
      <c r="G11" s="178">
        <f t="shared" si="1"/>
        <v>41455</v>
      </c>
      <c r="H11" s="67">
        <f>SUM(H8:H10)</f>
        <v>45452</v>
      </c>
      <c r="I11" s="82">
        <f t="shared" si="1"/>
        <v>0</v>
      </c>
      <c r="J11" s="78">
        <f>SUM(D11:H11)</f>
        <v>138684</v>
      </c>
    </row>
    <row r="12" spans="2:39" x14ac:dyDescent="0.25">
      <c r="B12" s="264"/>
      <c r="C12" s="51" t="s">
        <v>44</v>
      </c>
      <c r="D12" s="53" t="s">
        <v>41</v>
      </c>
      <c r="E12" s="52"/>
      <c r="F12" s="52"/>
      <c r="G12" s="179"/>
      <c r="H12" s="52"/>
      <c r="I12" s="54"/>
      <c r="J12" s="68" t="s">
        <v>41</v>
      </c>
    </row>
    <row r="13" spans="2:39" x14ac:dyDescent="0.25">
      <c r="B13" s="264"/>
      <c r="C13" s="71" t="s">
        <v>45</v>
      </c>
      <c r="D13" s="64">
        <f>D11*0.7593</f>
        <v>4209.5591999999997</v>
      </c>
      <c r="E13" s="64">
        <f t="shared" ref="E13:I13" si="2">E11*0.7593</f>
        <v>6646.9121999999998</v>
      </c>
      <c r="F13" s="64">
        <f t="shared" si="2"/>
        <v>28457.804700000001</v>
      </c>
      <c r="G13" s="177">
        <f t="shared" si="2"/>
        <v>31476.781499999997</v>
      </c>
      <c r="H13" s="64">
        <f t="shared" si="2"/>
        <v>34511.703600000001</v>
      </c>
      <c r="I13" s="82">
        <f t="shared" si="2"/>
        <v>0</v>
      </c>
      <c r="J13" s="64">
        <f>SUM(D13:H13)</f>
        <v>105302.76120000001</v>
      </c>
    </row>
    <row r="14" spans="2:39" x14ac:dyDescent="0.25">
      <c r="B14" s="264"/>
      <c r="C14" s="50" t="s">
        <v>13</v>
      </c>
      <c r="D14" s="67">
        <f t="shared" ref="D14:I14" si="3">SUM(D13:D13)</f>
        <v>4209.5591999999997</v>
      </c>
      <c r="E14" s="67">
        <f t="shared" si="3"/>
        <v>6646.9121999999998</v>
      </c>
      <c r="F14" s="67">
        <f t="shared" si="3"/>
        <v>28457.804700000001</v>
      </c>
      <c r="G14" s="178">
        <f t="shared" si="3"/>
        <v>31476.781499999997</v>
      </c>
      <c r="H14" s="67">
        <f t="shared" si="3"/>
        <v>34511.703600000001</v>
      </c>
      <c r="I14" s="54">
        <f t="shared" si="3"/>
        <v>0</v>
      </c>
      <c r="J14" s="67">
        <f>SUM(D14:H14)</f>
        <v>105302.76120000001</v>
      </c>
    </row>
    <row r="15" spans="2:39" x14ac:dyDescent="0.25">
      <c r="B15" s="264"/>
      <c r="C15" s="51" t="s">
        <v>46</v>
      </c>
      <c r="D15" s="53" t="s">
        <v>41</v>
      </c>
      <c r="E15" s="52"/>
      <c r="F15" s="52"/>
      <c r="G15" s="179"/>
      <c r="H15" s="52"/>
      <c r="I15" s="54"/>
      <c r="J15" s="68" t="s">
        <v>41</v>
      </c>
    </row>
    <row r="16" spans="2:39" ht="45" x14ac:dyDescent="0.25">
      <c r="B16" s="264"/>
      <c r="C16" s="72" t="s">
        <v>95</v>
      </c>
      <c r="D16" s="64">
        <v>1367</v>
      </c>
      <c r="E16" s="64">
        <v>1387</v>
      </c>
      <c r="F16" s="64">
        <v>1408</v>
      </c>
      <c r="G16" s="177">
        <v>1428</v>
      </c>
      <c r="H16" s="64">
        <v>1448</v>
      </c>
      <c r="I16" s="43"/>
      <c r="J16" s="64">
        <v>7038</v>
      </c>
    </row>
    <row r="17" spans="2:10" x14ac:dyDescent="0.25">
      <c r="B17" s="264"/>
      <c r="C17" s="50" t="s">
        <v>14</v>
      </c>
      <c r="D17" s="67">
        <f>SUM(D16)</f>
        <v>1367</v>
      </c>
      <c r="E17" s="67">
        <f t="shared" ref="E17:J17" si="4">SUM(E16)</f>
        <v>1387</v>
      </c>
      <c r="F17" s="67">
        <f t="shared" si="4"/>
        <v>1408</v>
      </c>
      <c r="G17" s="178">
        <f t="shared" si="4"/>
        <v>1428</v>
      </c>
      <c r="H17" s="67">
        <f t="shared" si="4"/>
        <v>1448</v>
      </c>
      <c r="I17" s="82">
        <f t="shared" si="4"/>
        <v>0</v>
      </c>
      <c r="J17" s="67">
        <f t="shared" si="4"/>
        <v>7038</v>
      </c>
    </row>
    <row r="18" spans="2:10" x14ac:dyDescent="0.25">
      <c r="B18" s="264"/>
      <c r="C18" s="51" t="s">
        <v>52</v>
      </c>
      <c r="D18" s="64"/>
      <c r="E18" s="52"/>
      <c r="F18" s="52"/>
      <c r="G18" s="179"/>
      <c r="H18" s="52"/>
      <c r="I18" s="54"/>
      <c r="J18" s="64" t="s">
        <v>20</v>
      </c>
    </row>
    <row r="19" spans="2:10" x14ac:dyDescent="0.25">
      <c r="B19" s="264"/>
      <c r="C19" s="53" t="s">
        <v>66</v>
      </c>
      <c r="D19" s="53" t="s">
        <v>41</v>
      </c>
      <c r="E19" s="52"/>
      <c r="F19" s="52"/>
      <c r="G19" s="179"/>
      <c r="H19" s="52"/>
      <c r="I19" s="54"/>
      <c r="J19" s="64">
        <f t="shared" ref="J19:J20" si="5">SUM(D19:H19)</f>
        <v>0</v>
      </c>
    </row>
    <row r="20" spans="2:10" x14ac:dyDescent="0.25">
      <c r="B20" s="264"/>
      <c r="C20" s="50" t="s">
        <v>15</v>
      </c>
      <c r="D20" s="69">
        <f>SUM(D19:D19)</f>
        <v>0</v>
      </c>
      <c r="E20" s="69">
        <f>SUM(E19:E19)</f>
        <v>0</v>
      </c>
      <c r="F20" s="69">
        <f>SUM(F19:F19)</f>
        <v>0</v>
      </c>
      <c r="G20" s="180">
        <f>SUM(G19:G19)</f>
        <v>0</v>
      </c>
      <c r="H20" s="188">
        <f>SUM(H19:H19)</f>
        <v>0</v>
      </c>
      <c r="I20" s="54"/>
      <c r="J20" s="67">
        <f t="shared" si="5"/>
        <v>0</v>
      </c>
    </row>
    <row r="21" spans="2:10" x14ac:dyDescent="0.25">
      <c r="B21" s="264"/>
      <c r="C21" s="51" t="s">
        <v>53</v>
      </c>
      <c r="D21" s="53" t="s">
        <v>41</v>
      </c>
      <c r="E21" s="52"/>
      <c r="F21" s="52"/>
      <c r="G21" s="179"/>
      <c r="H21" s="52"/>
      <c r="I21" s="54"/>
      <c r="J21" s="64"/>
    </row>
    <row r="22" spans="2:10" ht="30" x14ac:dyDescent="0.25">
      <c r="B22" s="264"/>
      <c r="C22" s="128" t="s">
        <v>96</v>
      </c>
      <c r="D22" s="154">
        <v>0</v>
      </c>
      <c r="E22" s="123">
        <v>0</v>
      </c>
      <c r="F22" s="64">
        <v>20000</v>
      </c>
      <c r="G22" s="177">
        <v>20000</v>
      </c>
      <c r="H22" s="64">
        <v>20000</v>
      </c>
      <c r="I22" s="54"/>
      <c r="J22" s="64">
        <f>SUM(D22:H22)</f>
        <v>60000</v>
      </c>
    </row>
    <row r="23" spans="2:10" ht="30" x14ac:dyDescent="0.25">
      <c r="B23" s="264"/>
      <c r="C23" s="72" t="s">
        <v>97</v>
      </c>
      <c r="D23" s="64">
        <v>2500</v>
      </c>
      <c r="E23" s="64">
        <v>0</v>
      </c>
      <c r="F23" s="64">
        <v>0</v>
      </c>
      <c r="G23" s="177">
        <v>0</v>
      </c>
      <c r="H23" s="64">
        <v>0</v>
      </c>
      <c r="I23" s="43"/>
      <c r="J23" s="64">
        <f t="shared" ref="J23:J24" si="6">SUM(D23:H23)</f>
        <v>2500</v>
      </c>
    </row>
    <row r="24" spans="2:10" ht="30" x14ac:dyDescent="0.25">
      <c r="B24" s="264"/>
      <c r="C24" s="72" t="s">
        <v>98</v>
      </c>
      <c r="D24" s="64">
        <v>350</v>
      </c>
      <c r="E24" s="64">
        <v>0</v>
      </c>
      <c r="F24" s="64">
        <v>0</v>
      </c>
      <c r="G24" s="177">
        <v>0</v>
      </c>
      <c r="H24" s="64">
        <v>0</v>
      </c>
      <c r="I24" s="43"/>
      <c r="J24" s="64">
        <f t="shared" si="6"/>
        <v>350</v>
      </c>
    </row>
    <row r="25" spans="2:10" x14ac:dyDescent="0.25">
      <c r="B25" s="264"/>
      <c r="C25" s="229" t="s">
        <v>99</v>
      </c>
      <c r="D25" s="230">
        <v>920.8</v>
      </c>
      <c r="E25" s="230">
        <v>920.8</v>
      </c>
      <c r="F25" s="230">
        <v>920.8</v>
      </c>
      <c r="G25" s="231">
        <v>920.8</v>
      </c>
      <c r="H25" s="230">
        <v>920</v>
      </c>
      <c r="I25" s="228"/>
      <c r="J25" s="230">
        <f>SUM(D25:H25)</f>
        <v>4603.2</v>
      </c>
    </row>
    <row r="26" spans="2:10" x14ac:dyDescent="0.25">
      <c r="B26" s="264"/>
      <c r="C26" s="50" t="s">
        <v>16</v>
      </c>
      <c r="D26" s="67">
        <f>SUM(D22:D25)</f>
        <v>3770.8</v>
      </c>
      <c r="E26" s="67">
        <f t="shared" ref="E26:H26" si="7">SUM(E22:E25)</f>
        <v>920.8</v>
      </c>
      <c r="F26" s="67">
        <f t="shared" si="7"/>
        <v>20920.8</v>
      </c>
      <c r="G26" s="67">
        <f t="shared" si="7"/>
        <v>20920.8</v>
      </c>
      <c r="H26" s="67">
        <f t="shared" si="7"/>
        <v>20920</v>
      </c>
      <c r="I26" s="82"/>
      <c r="J26" s="78">
        <f>SUM(D26:H26)</f>
        <v>67453.2</v>
      </c>
    </row>
    <row r="27" spans="2:10" x14ac:dyDescent="0.25">
      <c r="B27" s="264"/>
      <c r="C27" s="51" t="s">
        <v>54</v>
      </c>
      <c r="D27" s="53" t="s">
        <v>41</v>
      </c>
      <c r="E27" s="52"/>
      <c r="F27" s="52"/>
      <c r="G27" s="179"/>
      <c r="H27" s="52"/>
      <c r="I27" s="54"/>
      <c r="J27" s="64"/>
    </row>
    <row r="28" spans="2:10" ht="60" x14ac:dyDescent="0.25">
      <c r="B28" s="264"/>
      <c r="C28" s="72" t="s">
        <v>100</v>
      </c>
      <c r="D28" s="64">
        <v>117052</v>
      </c>
      <c r="E28" s="64">
        <v>119392</v>
      </c>
      <c r="F28" s="64">
        <v>121784</v>
      </c>
      <c r="G28" s="177">
        <v>124218</v>
      </c>
      <c r="H28" s="64">
        <v>126703</v>
      </c>
      <c r="I28" s="54"/>
      <c r="J28" s="64">
        <f>SUM(D28:H28)</f>
        <v>609149</v>
      </c>
    </row>
    <row r="29" spans="2:10" x14ac:dyDescent="0.25">
      <c r="B29" s="264"/>
      <c r="C29" s="50" t="s">
        <v>17</v>
      </c>
      <c r="D29" s="67">
        <f t="shared" ref="D29:I29" si="8">SUM(D28:D28)</f>
        <v>117052</v>
      </c>
      <c r="E29" s="67">
        <f t="shared" si="8"/>
        <v>119392</v>
      </c>
      <c r="F29" s="67">
        <f t="shared" si="8"/>
        <v>121784</v>
      </c>
      <c r="G29" s="178">
        <f t="shared" si="8"/>
        <v>124218</v>
      </c>
      <c r="H29" s="67">
        <f t="shared" si="8"/>
        <v>126703</v>
      </c>
      <c r="I29" s="82">
        <f t="shared" si="8"/>
        <v>0</v>
      </c>
      <c r="J29" s="78">
        <f>SUM(D29:H29)</f>
        <v>609149</v>
      </c>
    </row>
    <row r="30" spans="2:10" x14ac:dyDescent="0.25">
      <c r="B30" s="264"/>
      <c r="C30" s="51" t="s">
        <v>56</v>
      </c>
      <c r="D30" s="53" t="s">
        <v>41</v>
      </c>
      <c r="E30" s="52"/>
      <c r="F30" s="52"/>
      <c r="G30" s="179"/>
      <c r="H30" s="52"/>
      <c r="I30" s="54"/>
      <c r="J30" s="64"/>
    </row>
    <row r="31" spans="2:10" ht="30" x14ac:dyDescent="0.25">
      <c r="B31" s="264"/>
      <c r="C31" s="71" t="s">
        <v>101</v>
      </c>
      <c r="D31" s="64">
        <v>54400</v>
      </c>
      <c r="E31" s="64">
        <v>54400</v>
      </c>
      <c r="F31" s="64">
        <v>54400</v>
      </c>
      <c r="G31" s="177">
        <v>54400</v>
      </c>
      <c r="H31" s="64">
        <v>54400</v>
      </c>
      <c r="I31" s="54"/>
      <c r="J31" s="64">
        <v>272000</v>
      </c>
    </row>
    <row r="32" spans="2:10" x14ac:dyDescent="0.25">
      <c r="B32" s="264"/>
      <c r="C32" s="128" t="s">
        <v>102</v>
      </c>
      <c r="D32" s="154">
        <v>0</v>
      </c>
      <c r="E32" s="123">
        <v>0</v>
      </c>
      <c r="F32" s="64">
        <v>5416812</v>
      </c>
      <c r="G32" s="177">
        <v>5525148</v>
      </c>
      <c r="H32" s="64">
        <v>5635651</v>
      </c>
      <c r="I32" s="54"/>
      <c r="J32" s="64">
        <f>SUM(D32:H32)</f>
        <v>16577611</v>
      </c>
    </row>
    <row r="33" spans="2:13" ht="15.6" customHeight="1" x14ac:dyDescent="0.25">
      <c r="B33" s="264"/>
      <c r="C33" s="128" t="s">
        <v>103</v>
      </c>
      <c r="D33" s="154">
        <v>0</v>
      </c>
      <c r="E33" s="123">
        <v>0</v>
      </c>
      <c r="F33" s="64">
        <v>1257905</v>
      </c>
      <c r="G33" s="177">
        <v>1283063</v>
      </c>
      <c r="H33" s="64">
        <v>1308724</v>
      </c>
      <c r="I33" s="54"/>
      <c r="J33" s="64">
        <f>SUM(D33:H33)</f>
        <v>3849692</v>
      </c>
    </row>
    <row r="34" spans="2:13" x14ac:dyDescent="0.25">
      <c r="B34" s="265"/>
      <c r="C34" s="50" t="s">
        <v>57</v>
      </c>
      <c r="D34" s="67">
        <f>SUM(D31:D33)</f>
        <v>54400</v>
      </c>
      <c r="E34" s="67">
        <f>SUM(E31:E33)</f>
        <v>54400</v>
      </c>
      <c r="F34" s="67">
        <f>SUM(F31:F33)</f>
        <v>6729117</v>
      </c>
      <c r="G34" s="178">
        <f>SUM(G31:G33)</f>
        <v>6862611</v>
      </c>
      <c r="H34" s="67">
        <f>SUM(H31:H33)</f>
        <v>6998775</v>
      </c>
      <c r="I34" s="54"/>
      <c r="J34" s="67">
        <f>J31+J32+J33</f>
        <v>20699303</v>
      </c>
      <c r="K34" s="25"/>
    </row>
    <row r="35" spans="2:13" x14ac:dyDescent="0.25">
      <c r="B35" s="242"/>
      <c r="C35" s="50" t="s">
        <v>19</v>
      </c>
      <c r="D35" s="67">
        <f>D34+D29+D26+D20+D17+D14+D11</f>
        <v>186343.35919999998</v>
      </c>
      <c r="E35" s="67">
        <f t="shared" ref="E35:H35" si="9">E34+E29+E26+E20+E17+E14+E11</f>
        <v>191500.71219999998</v>
      </c>
      <c r="F35" s="67">
        <f t="shared" si="9"/>
        <v>6939166.6047</v>
      </c>
      <c r="G35" s="67">
        <f t="shared" si="9"/>
        <v>7082109.5814999994</v>
      </c>
      <c r="H35" s="67">
        <f t="shared" si="9"/>
        <v>7227809.7035999997</v>
      </c>
      <c r="I35" s="54"/>
      <c r="J35" s="67">
        <f>J34+J29+J26+J20+J17+J14+J11</f>
        <v>21626929.961199999</v>
      </c>
    </row>
    <row r="36" spans="2:13" x14ac:dyDescent="0.25">
      <c r="B36" s="6"/>
      <c r="C36" s="54"/>
      <c r="D36" s="54"/>
      <c r="E36" s="54"/>
      <c r="F36" s="54"/>
      <c r="G36" s="54"/>
      <c r="H36" s="65"/>
      <c r="I36" s="54"/>
      <c r="J36" s="54" t="s">
        <v>20</v>
      </c>
    </row>
    <row r="37" spans="2:13" ht="29.1" customHeight="1" x14ac:dyDescent="0.25">
      <c r="B37" s="263" t="s">
        <v>58</v>
      </c>
      <c r="C37" s="55" t="s">
        <v>58</v>
      </c>
      <c r="D37" s="68"/>
      <c r="E37" s="68"/>
      <c r="F37" s="68"/>
      <c r="G37" s="68"/>
      <c r="H37" s="68"/>
      <c r="I37" s="54"/>
      <c r="J37" s="68" t="s">
        <v>20</v>
      </c>
    </row>
    <row r="38" spans="2:13" ht="30" x14ac:dyDescent="0.25">
      <c r="B38" s="264"/>
      <c r="C38" s="141" t="s">
        <v>72</v>
      </c>
      <c r="D38" s="154">
        <f>D11*1.1265</f>
        <v>6245.3160000000007</v>
      </c>
      <c r="E38" s="154">
        <f>E11*1.1265</f>
        <v>9861.3810000000012</v>
      </c>
      <c r="F38" s="154">
        <f>F11*1.1265</f>
        <v>42220.093500000003</v>
      </c>
      <c r="G38" s="154">
        <f>G11*1.1265</f>
        <v>46699.057500000003</v>
      </c>
      <c r="H38" s="154">
        <f>H11*1.1265</f>
        <v>51201.678</v>
      </c>
      <c r="I38" s="54"/>
      <c r="J38" s="64">
        <f>SUM(D38:H38)</f>
        <v>156227.52600000001</v>
      </c>
      <c r="M38" s="172"/>
    </row>
    <row r="39" spans="2:13" x14ac:dyDescent="0.25">
      <c r="B39" s="265"/>
      <c r="C39" s="50" t="s">
        <v>21</v>
      </c>
      <c r="D39" s="67">
        <f>SUM(D38:D38)</f>
        <v>6245.3160000000007</v>
      </c>
      <c r="E39" s="67">
        <f>SUM(E38:E38)</f>
        <v>9861.3810000000012</v>
      </c>
      <c r="F39" s="67">
        <f>SUM(F38:F38)</f>
        <v>42220.093500000003</v>
      </c>
      <c r="G39" s="67">
        <f>SUM(G38:G38)</f>
        <v>46699.057500000003</v>
      </c>
      <c r="H39" s="67">
        <f>SUM(H38:H38)</f>
        <v>51201.678</v>
      </c>
      <c r="I39" s="54"/>
      <c r="J39" s="67">
        <f>SUM(J38:J38)</f>
        <v>156227.52600000001</v>
      </c>
    </row>
    <row r="40" spans="2:13" ht="15.75" thickBot="1" x14ac:dyDescent="0.3">
      <c r="B40" s="6"/>
      <c r="C40" s="54"/>
      <c r="D40" s="54"/>
      <c r="E40" s="54"/>
      <c r="F40" s="54"/>
      <c r="G40" s="54"/>
      <c r="H40" s="54"/>
      <c r="I40" s="54"/>
      <c r="J40" s="54" t="s">
        <v>20</v>
      </c>
    </row>
    <row r="41" spans="2:13" s="1" customFormat="1" ht="30.75" thickBot="1" x14ac:dyDescent="0.3">
      <c r="B41" s="13" t="s">
        <v>22</v>
      </c>
      <c r="C41" s="56"/>
      <c r="D41" s="70">
        <f>D35+D39</f>
        <v>192588.67519999997</v>
      </c>
      <c r="E41" s="70">
        <f t="shared" ref="E41:H41" si="10">E35+E39</f>
        <v>201362.09319999997</v>
      </c>
      <c r="F41" s="70">
        <f t="shared" si="10"/>
        <v>6981386.6982000005</v>
      </c>
      <c r="G41" s="70">
        <f t="shared" si="10"/>
        <v>7128808.6389999995</v>
      </c>
      <c r="H41" s="91">
        <f t="shared" si="10"/>
        <v>7279011.3816</v>
      </c>
      <c r="I41" s="54"/>
      <c r="J41" s="92">
        <f>J39+J35</f>
        <v>21783157.487199999</v>
      </c>
      <c r="K41" s="171"/>
      <c r="L41" s="247"/>
    </row>
    <row r="42" spans="2:13" x14ac:dyDescent="0.25">
      <c r="B42" s="6"/>
    </row>
    <row r="43" spans="2:13" x14ac:dyDescent="0.25">
      <c r="B43" s="6"/>
      <c r="H43" s="170"/>
      <c r="K43" s="168"/>
    </row>
    <row r="44" spans="2:13" x14ac:dyDescent="0.25">
      <c r="B44" s="6"/>
    </row>
    <row r="45" spans="2:13" x14ac:dyDescent="0.25">
      <c r="B45" s="6"/>
    </row>
    <row r="46" spans="2:13" x14ac:dyDescent="0.25">
      <c r="B46" s="6"/>
      <c r="J46" s="158"/>
    </row>
    <row r="47" spans="2:13" x14ac:dyDescent="0.25">
      <c r="B47" s="6"/>
    </row>
    <row r="48" spans="2:13" x14ac:dyDescent="0.25">
      <c r="B48" s="6"/>
    </row>
    <row r="49" spans="2:2" x14ac:dyDescent="0.25">
      <c r="B49" s="6"/>
    </row>
    <row r="50" spans="2:2" x14ac:dyDescent="0.25">
      <c r="B50" s="6"/>
    </row>
    <row r="51" spans="2:2" x14ac:dyDescent="0.25">
      <c r="B51" s="6"/>
    </row>
    <row r="52" spans="2:2" x14ac:dyDescent="0.25">
      <c r="B52" s="6"/>
    </row>
    <row r="53" spans="2:2" x14ac:dyDescent="0.25">
      <c r="B53" s="6"/>
    </row>
    <row r="54" spans="2:2" x14ac:dyDescent="0.25">
      <c r="B54" s="6"/>
    </row>
    <row r="55" spans="2:2" x14ac:dyDescent="0.25">
      <c r="B55" s="6"/>
    </row>
    <row r="56" spans="2:2" x14ac:dyDescent="0.25">
      <c r="B56" s="6"/>
    </row>
  </sheetData>
  <mergeCells count="2">
    <mergeCell ref="B37:B39"/>
    <mergeCell ref="B7:B34"/>
  </mergeCells>
  <pageMargins left="0.7" right="0.7" top="0.75" bottom="0.75" header="0.3" footer="0.3"/>
  <pageSetup scale="8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55"/>
  <sheetViews>
    <sheetView showGridLines="0" tabSelected="1" topLeftCell="A12" zoomScaleNormal="100" workbookViewId="0">
      <selection activeCell="H2" sqref="H2:L2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42578125" style="6" customWidth="1"/>
    <col min="5" max="5" width="12.5703125" style="2" customWidth="1"/>
    <col min="6" max="6" width="14.42578125" customWidth="1"/>
    <col min="7" max="7" width="13" customWidth="1"/>
    <col min="8" max="8" width="13.42578125" style="2" customWidth="1"/>
    <col min="9" max="9" width="1.7109375" style="7" customWidth="1"/>
    <col min="10" max="10" width="14.5703125" customWidth="1"/>
    <col min="11" max="11" width="10.140625" customWidth="1"/>
    <col min="12" max="12" width="10.5703125" bestFit="1" customWidth="1"/>
    <col min="13" max="13" width="9.5703125" bestFit="1" customWidth="1"/>
  </cols>
  <sheetData>
    <row r="2" spans="2:39" ht="23.25" x14ac:dyDescent="0.35">
      <c r="B2" s="21" t="s">
        <v>104</v>
      </c>
      <c r="H2" s="274"/>
      <c r="I2" s="275"/>
      <c r="J2" s="273"/>
      <c r="K2" s="273"/>
      <c r="L2" s="273"/>
    </row>
    <row r="3" spans="2:39" x14ac:dyDescent="0.25">
      <c r="B3" s="5" t="s">
        <v>39</v>
      </c>
    </row>
    <row r="4" spans="2:39" x14ac:dyDescent="0.25">
      <c r="B4" s="5"/>
    </row>
    <row r="5" spans="2:39" ht="18.75" x14ac:dyDescent="0.3">
      <c r="B5" s="26" t="s">
        <v>2</v>
      </c>
      <c r="C5" s="27"/>
      <c r="D5" s="27"/>
      <c r="E5" s="27"/>
      <c r="F5" s="27"/>
      <c r="G5" s="27"/>
      <c r="H5" s="27"/>
      <c r="I5" s="27"/>
      <c r="J5" s="28"/>
    </row>
    <row r="6" spans="2:39" x14ac:dyDescent="0.25">
      <c r="B6" s="146" t="s">
        <v>3</v>
      </c>
      <c r="C6" s="146" t="s">
        <v>4</v>
      </c>
      <c r="D6" s="146" t="s">
        <v>5</v>
      </c>
      <c r="E6" s="147" t="s">
        <v>6</v>
      </c>
      <c r="F6" s="147" t="s">
        <v>7</v>
      </c>
      <c r="G6" s="201" t="s">
        <v>8</v>
      </c>
      <c r="H6" s="202" t="s">
        <v>9</v>
      </c>
      <c r="I6" s="204"/>
      <c r="J6" s="196" t="s">
        <v>10</v>
      </c>
    </row>
    <row r="7" spans="2:39" s="5" customFormat="1" x14ac:dyDescent="0.25">
      <c r="B7" s="266" t="s">
        <v>11</v>
      </c>
      <c r="C7" s="148" t="s">
        <v>40</v>
      </c>
      <c r="D7" s="110" t="s">
        <v>41</v>
      </c>
      <c r="E7" s="110" t="s">
        <v>41</v>
      </c>
      <c r="F7" s="110" t="s">
        <v>41</v>
      </c>
      <c r="G7" s="191"/>
      <c r="H7" s="203" t="s">
        <v>41</v>
      </c>
      <c r="I7" s="7"/>
      <c r="J7" s="197" t="s">
        <v>41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66"/>
      <c r="C8" s="149" t="s">
        <v>105</v>
      </c>
      <c r="D8" s="112">
        <f>110882*0.33</f>
        <v>36591.060000000005</v>
      </c>
      <c r="E8" s="112">
        <f>D8*1.03</f>
        <v>37688.791800000006</v>
      </c>
      <c r="F8" s="112">
        <f t="shared" ref="F8:H8" si="0">E8*1.03</f>
        <v>38819.455554000007</v>
      </c>
      <c r="G8" s="192">
        <f t="shared" si="0"/>
        <v>39984.039220620012</v>
      </c>
      <c r="H8" s="198">
        <f t="shared" si="0"/>
        <v>41183.560397238616</v>
      </c>
      <c r="I8" s="232"/>
      <c r="J8" s="198">
        <f>SUM(D8:H8)</f>
        <v>194266.90697185864</v>
      </c>
    </row>
    <row r="9" spans="2:39" ht="30" x14ac:dyDescent="0.25">
      <c r="B9" s="266"/>
      <c r="C9" s="149" t="s">
        <v>106</v>
      </c>
      <c r="D9" s="112">
        <f>91125*2</f>
        <v>182250</v>
      </c>
      <c r="E9" s="112">
        <f t="shared" ref="E9:H10" si="1">D9*1.03</f>
        <v>187717.5</v>
      </c>
      <c r="F9" s="112">
        <f t="shared" si="1"/>
        <v>193349.02499999999</v>
      </c>
      <c r="G9" s="192">
        <f t="shared" si="1"/>
        <v>199149.49575</v>
      </c>
      <c r="H9" s="198">
        <f t="shared" si="1"/>
        <v>205123.98062250001</v>
      </c>
      <c r="I9" s="164"/>
      <c r="J9" s="198">
        <f>SUM(D9:H9)</f>
        <v>967590.00137250009</v>
      </c>
    </row>
    <row r="10" spans="2:39" ht="30" x14ac:dyDescent="0.25">
      <c r="B10" s="266"/>
      <c r="C10" s="149" t="s">
        <v>107</v>
      </c>
      <c r="D10" s="112">
        <f>74922*0.05</f>
        <v>3746.1000000000004</v>
      </c>
      <c r="E10" s="112">
        <f>D10*1.03</f>
        <v>3858.4830000000006</v>
      </c>
      <c r="F10" s="112">
        <f t="shared" si="1"/>
        <v>3974.2374900000009</v>
      </c>
      <c r="G10" s="112">
        <f t="shared" si="1"/>
        <v>4093.4646147000012</v>
      </c>
      <c r="H10" s="112">
        <f t="shared" si="1"/>
        <v>4216.2685531410016</v>
      </c>
      <c r="I10" s="164"/>
      <c r="J10" s="198">
        <f>SUM(D10:H10)</f>
        <v>19888.553657841006</v>
      </c>
    </row>
    <row r="11" spans="2:39" x14ac:dyDescent="0.25">
      <c r="B11" s="266"/>
      <c r="C11" s="113" t="s">
        <v>43</v>
      </c>
      <c r="D11" s="114">
        <f>SUM(D8:D10)</f>
        <v>222587.16</v>
      </c>
      <c r="E11" s="114">
        <f>SUM(E8:E10)</f>
        <v>229264.77480000001</v>
      </c>
      <c r="F11" s="114">
        <f>SUM(F8:F10)</f>
        <v>236142.71804400001</v>
      </c>
      <c r="G11" s="114">
        <f>SUM(G8:G10)</f>
        <v>243226.99958532001</v>
      </c>
      <c r="H11" s="114">
        <f>SUM(H8:H10)</f>
        <v>250523.80957287963</v>
      </c>
      <c r="I11" s="195"/>
      <c r="J11" s="199">
        <f>SUM(D11:H11)</f>
        <v>1181745.4620021996</v>
      </c>
    </row>
    <row r="12" spans="2:39" x14ac:dyDescent="0.25">
      <c r="B12" s="266"/>
      <c r="C12" s="115" t="s">
        <v>44</v>
      </c>
      <c r="D12" s="116" t="s">
        <v>41</v>
      </c>
      <c r="E12" s="116"/>
      <c r="F12" s="116"/>
      <c r="G12" s="233"/>
      <c r="H12" s="234"/>
      <c r="I12" s="164"/>
      <c r="J12" s="235" t="s">
        <v>41</v>
      </c>
    </row>
    <row r="13" spans="2:39" x14ac:dyDescent="0.25">
      <c r="B13" s="266"/>
      <c r="C13" s="149" t="s">
        <v>45</v>
      </c>
      <c r="D13" s="112">
        <f>D11*0.7593</f>
        <v>169010.43058799999</v>
      </c>
      <c r="E13" s="112">
        <f t="shared" ref="E13:H13" si="2">E11*0.7593</f>
        <v>174080.74350564001</v>
      </c>
      <c r="F13" s="112">
        <f t="shared" si="2"/>
        <v>179303.16581080921</v>
      </c>
      <c r="G13" s="112">
        <f t="shared" si="2"/>
        <v>184682.26078513349</v>
      </c>
      <c r="H13" s="112">
        <f t="shared" si="2"/>
        <v>190222.7286086875</v>
      </c>
      <c r="I13" s="164"/>
      <c r="J13" s="198">
        <f>SUM(D13:H13)</f>
        <v>897299.32929827017</v>
      </c>
    </row>
    <row r="14" spans="2:39" x14ac:dyDescent="0.25">
      <c r="B14" s="266"/>
      <c r="C14" s="113" t="s">
        <v>13</v>
      </c>
      <c r="D14" s="114">
        <f>SUM(D13:D13)</f>
        <v>169010.43058799999</v>
      </c>
      <c r="E14" s="114">
        <f>SUM(E13:E13)</f>
        <v>174080.74350564001</v>
      </c>
      <c r="F14" s="114">
        <f>SUM(F13:F13)</f>
        <v>179303.16581080921</v>
      </c>
      <c r="G14" s="193">
        <f>SUM(G13:G13)</f>
        <v>184682.26078513349</v>
      </c>
      <c r="H14" s="199">
        <f>SUM(H13:H13)</f>
        <v>190222.7286086875</v>
      </c>
      <c r="I14" s="164"/>
      <c r="J14" s="199">
        <f>SUM(J13:J13)</f>
        <v>897299.32929827017</v>
      </c>
    </row>
    <row r="15" spans="2:39" x14ac:dyDescent="0.25">
      <c r="B15" s="266"/>
      <c r="C15" s="115" t="s">
        <v>46</v>
      </c>
      <c r="D15" s="116" t="s">
        <v>41</v>
      </c>
      <c r="E15" s="116"/>
      <c r="F15" s="116"/>
      <c r="G15" s="233"/>
      <c r="H15" s="234"/>
      <c r="I15" s="164"/>
      <c r="J15" s="235" t="s">
        <v>41</v>
      </c>
    </row>
    <row r="16" spans="2:39" x14ac:dyDescent="0.25">
      <c r="B16" s="266"/>
      <c r="C16" s="149" t="s">
        <v>108</v>
      </c>
      <c r="D16" s="112" t="s">
        <v>66</v>
      </c>
      <c r="E16" s="112" t="s">
        <v>66</v>
      </c>
      <c r="F16" s="112" t="s">
        <v>66</v>
      </c>
      <c r="G16" s="192"/>
      <c r="H16" s="198"/>
      <c r="I16" s="164"/>
      <c r="J16" s="198"/>
    </row>
    <row r="17" spans="2:10" ht="30" x14ac:dyDescent="0.25">
      <c r="B17" s="266"/>
      <c r="C17" s="111" t="s">
        <v>109</v>
      </c>
      <c r="D17" s="112">
        <f>500*0.655</f>
        <v>327.5</v>
      </c>
      <c r="E17" s="112">
        <f t="shared" ref="E17:H17" si="3">500*0.655</f>
        <v>327.5</v>
      </c>
      <c r="F17" s="112">
        <f t="shared" si="3"/>
        <v>327.5</v>
      </c>
      <c r="G17" s="192">
        <f t="shared" si="3"/>
        <v>327.5</v>
      </c>
      <c r="H17" s="198">
        <f t="shared" si="3"/>
        <v>327.5</v>
      </c>
      <c r="I17" s="232"/>
      <c r="J17" s="198">
        <f t="shared" ref="J17" si="4">SUM(D17:H17)</f>
        <v>1637.5</v>
      </c>
    </row>
    <row r="18" spans="2:10" x14ac:dyDescent="0.25">
      <c r="B18" s="266"/>
      <c r="C18" s="113" t="s">
        <v>14</v>
      </c>
      <c r="D18" s="114">
        <f>SUM(D17:D17)</f>
        <v>327.5</v>
      </c>
      <c r="E18" s="114">
        <f>SUM(E17:E17)</f>
        <v>327.5</v>
      </c>
      <c r="F18" s="114">
        <f>SUM(F17:F17)</f>
        <v>327.5</v>
      </c>
      <c r="G18" s="193">
        <f>SUM(G17:G17)</f>
        <v>327.5</v>
      </c>
      <c r="H18" s="199">
        <f>SUM(H17:H17)</f>
        <v>327.5</v>
      </c>
      <c r="I18" s="164"/>
      <c r="J18" s="199">
        <f>SUM(D18:H18)</f>
        <v>1637.5</v>
      </c>
    </row>
    <row r="19" spans="2:10" x14ac:dyDescent="0.25">
      <c r="B19" s="266"/>
      <c r="C19" s="115" t="s">
        <v>110</v>
      </c>
      <c r="D19" s="112"/>
      <c r="E19" s="116"/>
      <c r="F19" s="116"/>
      <c r="G19" s="233"/>
      <c r="H19" s="234"/>
      <c r="I19" s="164"/>
      <c r="J19" s="198" t="s">
        <v>20</v>
      </c>
    </row>
    <row r="20" spans="2:10" x14ac:dyDescent="0.25">
      <c r="B20" s="266"/>
      <c r="C20" s="149" t="s">
        <v>111</v>
      </c>
      <c r="D20" s="112">
        <v>0</v>
      </c>
      <c r="E20" s="236">
        <v>0</v>
      </c>
      <c r="F20" s="112">
        <v>6000000</v>
      </c>
      <c r="G20" s="192">
        <v>0</v>
      </c>
      <c r="H20" s="237">
        <v>0</v>
      </c>
      <c r="I20" s="164"/>
      <c r="J20" s="198">
        <f>SUM(D20:H20)</f>
        <v>6000000</v>
      </c>
    </row>
    <row r="21" spans="2:10" ht="30" x14ac:dyDescent="0.25">
      <c r="B21" s="266"/>
      <c r="C21" s="150" t="s">
        <v>112</v>
      </c>
      <c r="D21" s="112">
        <v>0</v>
      </c>
      <c r="E21" s="112">
        <v>0</v>
      </c>
      <c r="F21" s="112">
        <v>1020000</v>
      </c>
      <c r="G21" s="192">
        <v>0</v>
      </c>
      <c r="H21" s="216">
        <v>0</v>
      </c>
      <c r="I21" s="164"/>
      <c r="J21" s="216">
        <f>SUM(D21:H21)</f>
        <v>1020000</v>
      </c>
    </row>
    <row r="22" spans="2:10" x14ac:dyDescent="0.25">
      <c r="B22" s="266"/>
      <c r="C22" s="113" t="s">
        <v>15</v>
      </c>
      <c r="D22" s="114">
        <f>SUM(D20:D21)</f>
        <v>0</v>
      </c>
      <c r="E22" s="114">
        <f t="shared" ref="E22:J22" si="5">SUM(E20:E21)</f>
        <v>0</v>
      </c>
      <c r="F22" s="114">
        <f t="shared" si="5"/>
        <v>7020000</v>
      </c>
      <c r="G22" s="193">
        <f t="shared" si="5"/>
        <v>0</v>
      </c>
      <c r="H22" s="118">
        <f t="shared" si="5"/>
        <v>0</v>
      </c>
      <c r="I22" s="195">
        <f t="shared" si="5"/>
        <v>0</v>
      </c>
      <c r="J22" s="118">
        <f t="shared" si="5"/>
        <v>7020000</v>
      </c>
    </row>
    <row r="23" spans="2:10" x14ac:dyDescent="0.25">
      <c r="B23" s="266"/>
      <c r="C23" s="218" t="s">
        <v>113</v>
      </c>
      <c r="D23" s="219" t="s">
        <v>41</v>
      </c>
      <c r="E23" s="219"/>
      <c r="F23" s="219"/>
      <c r="G23" s="238"/>
      <c r="H23" s="240"/>
      <c r="I23" s="164"/>
      <c r="J23" s="241" t="s">
        <v>41</v>
      </c>
    </row>
    <row r="24" spans="2:10" ht="30" x14ac:dyDescent="0.25">
      <c r="B24" s="266"/>
      <c r="C24" s="244" t="s">
        <v>114</v>
      </c>
      <c r="D24" s="225">
        <v>10000</v>
      </c>
      <c r="E24" s="112">
        <v>10000</v>
      </c>
      <c r="F24" s="112">
        <v>10000</v>
      </c>
      <c r="G24" s="192">
        <f>4100+4148.81</f>
        <v>8248.8100000000013</v>
      </c>
      <c r="H24" s="198">
        <f>4100+4149</f>
        <v>8249</v>
      </c>
      <c r="I24" s="164"/>
      <c r="J24" s="198">
        <f>SUM(D24:H24)</f>
        <v>46497.81</v>
      </c>
    </row>
    <row r="25" spans="2:10" x14ac:dyDescent="0.25">
      <c r="B25" s="266"/>
      <c r="C25" s="220" t="s">
        <v>115</v>
      </c>
      <c r="D25" s="221">
        <f>D24</f>
        <v>10000</v>
      </c>
      <c r="E25" s="221">
        <f t="shared" ref="E25:H25" si="6">E24</f>
        <v>10000</v>
      </c>
      <c r="F25" s="221">
        <f t="shared" si="6"/>
        <v>10000</v>
      </c>
      <c r="G25" s="221">
        <f t="shared" si="6"/>
        <v>8248.8100000000013</v>
      </c>
      <c r="H25" s="221">
        <f t="shared" si="6"/>
        <v>8249</v>
      </c>
      <c r="I25" s="164"/>
      <c r="J25" s="222">
        <f t="shared" ref="J25" si="7">SUM(D25:H25)</f>
        <v>46497.81</v>
      </c>
    </row>
    <row r="26" spans="2:10" x14ac:dyDescent="0.25">
      <c r="B26" s="266"/>
      <c r="C26" s="115" t="s">
        <v>54</v>
      </c>
      <c r="D26" s="116" t="s">
        <v>41</v>
      </c>
      <c r="E26" s="116"/>
      <c r="F26" s="116"/>
      <c r="G26" s="233"/>
      <c r="H26" s="234"/>
      <c r="I26" s="164"/>
      <c r="J26" s="198"/>
    </row>
    <row r="27" spans="2:10" ht="30" x14ac:dyDescent="0.25">
      <c r="B27" s="266"/>
      <c r="C27" s="149" t="s">
        <v>116</v>
      </c>
      <c r="D27" s="112">
        <v>250000</v>
      </c>
      <c r="E27" s="112">
        <v>250000</v>
      </c>
      <c r="F27" s="112">
        <v>100000</v>
      </c>
      <c r="G27" s="192">
        <v>0</v>
      </c>
      <c r="H27" s="198">
        <v>0</v>
      </c>
      <c r="I27" s="232"/>
      <c r="J27" s="198">
        <f>SUM(D27:H27)</f>
        <v>600000</v>
      </c>
    </row>
    <row r="28" spans="2:10" ht="30" x14ac:dyDescent="0.25">
      <c r="B28" s="266"/>
      <c r="C28" s="149" t="s">
        <v>117</v>
      </c>
      <c r="D28" s="112">
        <v>25000</v>
      </c>
      <c r="E28" s="112">
        <v>25000</v>
      </c>
      <c r="F28" s="112">
        <v>75000</v>
      </c>
      <c r="G28" s="192">
        <v>0</v>
      </c>
      <c r="H28" s="198">
        <v>0</v>
      </c>
      <c r="I28" s="232"/>
      <c r="J28" s="198">
        <f>SUM(D28:H28)</f>
        <v>125000</v>
      </c>
    </row>
    <row r="29" spans="2:10" ht="30" x14ac:dyDescent="0.25">
      <c r="B29" s="266"/>
      <c r="C29" s="149" t="s">
        <v>118</v>
      </c>
      <c r="D29" s="112">
        <v>25000</v>
      </c>
      <c r="E29" s="112">
        <v>40000</v>
      </c>
      <c r="F29" s="112">
        <v>40000</v>
      </c>
      <c r="G29" s="192">
        <v>10000</v>
      </c>
      <c r="H29" s="198">
        <v>10000</v>
      </c>
      <c r="I29" s="232"/>
      <c r="J29" s="198">
        <f>SUM(D29:H29)</f>
        <v>125000</v>
      </c>
    </row>
    <row r="30" spans="2:10" x14ac:dyDescent="0.25">
      <c r="B30" s="266"/>
      <c r="C30" s="113" t="s">
        <v>17</v>
      </c>
      <c r="D30" s="114">
        <f>SUM(D27:D29)</f>
        <v>300000</v>
      </c>
      <c r="E30" s="114">
        <f t="shared" ref="E30:H30" si="8">SUM(E27:E29)</f>
        <v>315000</v>
      </c>
      <c r="F30" s="114">
        <f t="shared" si="8"/>
        <v>215000</v>
      </c>
      <c r="G30" s="114">
        <f t="shared" si="8"/>
        <v>10000</v>
      </c>
      <c r="H30" s="114">
        <f t="shared" si="8"/>
        <v>10000</v>
      </c>
      <c r="I30" s="195">
        <f ca="1">SUM(I27:I32)</f>
        <v>0</v>
      </c>
      <c r="J30" s="199">
        <f>SUM(D30:H30)</f>
        <v>850000</v>
      </c>
    </row>
    <row r="31" spans="2:10" x14ac:dyDescent="0.25">
      <c r="B31" s="266"/>
      <c r="C31" s="218" t="s">
        <v>56</v>
      </c>
      <c r="D31" s="219" t="s">
        <v>41</v>
      </c>
      <c r="E31" s="219"/>
      <c r="F31" s="219"/>
      <c r="G31" s="238"/>
      <c r="H31" s="239"/>
      <c r="I31" s="164"/>
      <c r="J31" s="216"/>
    </row>
    <row r="32" spans="2:10" ht="60" x14ac:dyDescent="0.25">
      <c r="B32" s="266"/>
      <c r="C32" s="149" t="s">
        <v>119</v>
      </c>
      <c r="D32" s="112">
        <v>0</v>
      </c>
      <c r="E32" s="112">
        <v>0</v>
      </c>
      <c r="F32" s="112">
        <v>2014000</v>
      </c>
      <c r="G32" s="192">
        <v>1014000</v>
      </c>
      <c r="H32" s="198">
        <v>1014000</v>
      </c>
      <c r="I32" s="232"/>
      <c r="J32" s="198">
        <f>SUM(D32:H32)</f>
        <v>4042000</v>
      </c>
    </row>
    <row r="33" spans="2:13" x14ac:dyDescent="0.25">
      <c r="B33" s="266"/>
      <c r="C33" s="220" t="s">
        <v>57</v>
      </c>
      <c r="D33" s="221">
        <f>D32</f>
        <v>0</v>
      </c>
      <c r="E33" s="221">
        <f t="shared" ref="E33:H33" si="9">E32</f>
        <v>0</v>
      </c>
      <c r="F33" s="221">
        <f t="shared" si="9"/>
        <v>2014000</v>
      </c>
      <c r="G33" s="221">
        <f t="shared" si="9"/>
        <v>1014000</v>
      </c>
      <c r="H33" s="221">
        <f t="shared" si="9"/>
        <v>1014000</v>
      </c>
      <c r="I33" s="164"/>
      <c r="J33" s="227">
        <f>SUM(D33:H33)</f>
        <v>4042000</v>
      </c>
    </row>
    <row r="34" spans="2:13" x14ac:dyDescent="0.25">
      <c r="B34" s="242"/>
      <c r="C34" s="113" t="s">
        <v>19</v>
      </c>
      <c r="D34" s="114">
        <f>D33+D30+D25+D18+D14+D11</f>
        <v>701925.09058800002</v>
      </c>
      <c r="E34" s="114">
        <f>E33+E30+E25+E18+E14+E11</f>
        <v>728673.01830563997</v>
      </c>
      <c r="F34" s="114">
        <f>F33+F30+F25+F18+F14+F11</f>
        <v>2654773.3838548092</v>
      </c>
      <c r="G34" s="114">
        <f>G33+G30+G25+G18+G14+G11</f>
        <v>1460485.5703704536</v>
      </c>
      <c r="H34" s="114">
        <f>H33+H30+H25+H18+H14+H11</f>
        <v>1473323.0381815671</v>
      </c>
      <c r="I34" s="164"/>
      <c r="J34" s="200">
        <f>J11+J14+J18+J22+J25+J30+J33</f>
        <v>14039180.101300471</v>
      </c>
    </row>
    <row r="35" spans="2:13" x14ac:dyDescent="0.25">
      <c r="B35" s="6"/>
      <c r="C35" s="7"/>
      <c r="D35" s="7"/>
      <c r="E35" s="7"/>
      <c r="F35" s="7"/>
      <c r="G35" s="7"/>
      <c r="H35" s="194"/>
      <c r="J35" s="7" t="s">
        <v>20</v>
      </c>
    </row>
    <row r="36" spans="2:13" x14ac:dyDescent="0.25">
      <c r="B36" s="263" t="s">
        <v>58</v>
      </c>
      <c r="C36" s="93" t="s">
        <v>58</v>
      </c>
      <c r="D36" s="8"/>
      <c r="E36" s="8"/>
      <c r="F36" s="8"/>
      <c r="G36" s="8"/>
      <c r="H36" s="8"/>
      <c r="J36" s="8" t="s">
        <v>20</v>
      </c>
    </row>
    <row r="37" spans="2:13" ht="30" x14ac:dyDescent="0.25">
      <c r="B37" s="264"/>
      <c r="C37" s="226" t="s">
        <v>72</v>
      </c>
      <c r="D37" s="117">
        <f>D11*1.11265</f>
        <v>247661.60357399998</v>
      </c>
      <c r="E37" s="117">
        <f t="shared" ref="E37:H37" si="10">E11*1.11265</f>
        <v>255091.45168122</v>
      </c>
      <c r="F37" s="117">
        <f t="shared" si="10"/>
        <v>262744.1952316566</v>
      </c>
      <c r="G37" s="117">
        <f t="shared" si="10"/>
        <v>270626.52108860627</v>
      </c>
      <c r="H37" s="117">
        <f t="shared" si="10"/>
        <v>278745.31672126451</v>
      </c>
      <c r="J37" s="117">
        <f>SUM(D37:H37)</f>
        <v>1314869.0882967473</v>
      </c>
    </row>
    <row r="38" spans="2:13" x14ac:dyDescent="0.25">
      <c r="B38" s="265"/>
      <c r="C38" s="9" t="s">
        <v>21</v>
      </c>
      <c r="D38" s="118">
        <f>SUM(D37:D37)</f>
        <v>247661.60357399998</v>
      </c>
      <c r="E38" s="118">
        <f>SUM(E37:E37)</f>
        <v>255091.45168122</v>
      </c>
      <c r="F38" s="118">
        <f>SUM(F37:F37)</f>
        <v>262744.1952316566</v>
      </c>
      <c r="G38" s="118">
        <f>SUM(G37:G37)</f>
        <v>270626.52108860627</v>
      </c>
      <c r="H38" s="118">
        <f>SUM(H37:H37)</f>
        <v>278745.31672126451</v>
      </c>
      <c r="J38" s="118">
        <f t="shared" ref="J38" si="11">SUM(D38:H38)</f>
        <v>1314869.0882967473</v>
      </c>
    </row>
    <row r="39" spans="2:13" ht="15.75" thickBot="1" x14ac:dyDescent="0.3">
      <c r="B39" s="6"/>
      <c r="C39" s="7"/>
      <c r="D39" s="7"/>
      <c r="E39" s="7"/>
      <c r="F39" s="7"/>
      <c r="G39" s="7"/>
      <c r="H39" s="7"/>
      <c r="J39" s="7" t="s">
        <v>20</v>
      </c>
    </row>
    <row r="40" spans="2:13" s="1" customFormat="1" ht="30.75" thickBot="1" x14ac:dyDescent="0.3">
      <c r="B40" s="13" t="s">
        <v>22</v>
      </c>
      <c r="C40" s="13"/>
      <c r="D40" s="119">
        <f>SUM(D38,D34)</f>
        <v>949586.69416199997</v>
      </c>
      <c r="E40" s="119">
        <f>SUM(E38,E34)</f>
        <v>983764.46998685994</v>
      </c>
      <c r="F40" s="119">
        <f>SUM(F38,F34)</f>
        <v>2917517.5790864658</v>
      </c>
      <c r="G40" s="119">
        <f>SUM(G38,G34)</f>
        <v>1731112.0914590599</v>
      </c>
      <c r="H40" s="190">
        <f>SUM(H38,H34)</f>
        <v>1752068.3549028316</v>
      </c>
      <c r="I40" s="7"/>
      <c r="J40" s="189">
        <f>SUM(J38,J34)</f>
        <v>15354049.189597217</v>
      </c>
      <c r="K40" s="246"/>
      <c r="L40" s="246"/>
      <c r="M40" s="247"/>
    </row>
    <row r="41" spans="2:13" x14ac:dyDescent="0.25">
      <c r="B41" s="6"/>
    </row>
    <row r="42" spans="2:13" x14ac:dyDescent="0.25">
      <c r="B42" s="6"/>
    </row>
    <row r="43" spans="2:13" x14ac:dyDescent="0.25">
      <c r="B43" s="6"/>
    </row>
    <row r="44" spans="2:13" x14ac:dyDescent="0.25">
      <c r="B44" s="6"/>
    </row>
    <row r="45" spans="2:13" x14ac:dyDescent="0.25">
      <c r="B45" s="6"/>
    </row>
    <row r="46" spans="2:13" x14ac:dyDescent="0.25">
      <c r="B46" s="6"/>
    </row>
    <row r="47" spans="2:13" x14ac:dyDescent="0.25">
      <c r="B47" s="6"/>
    </row>
    <row r="48" spans="2:13" x14ac:dyDescent="0.25">
      <c r="B48" s="6"/>
    </row>
    <row r="49" spans="2:2" x14ac:dyDescent="0.25">
      <c r="B49" s="6"/>
    </row>
    <row r="50" spans="2:2" x14ac:dyDescent="0.25">
      <c r="B50" s="6"/>
    </row>
    <row r="51" spans="2:2" x14ac:dyDescent="0.25">
      <c r="B51" s="6"/>
    </row>
    <row r="52" spans="2:2" x14ac:dyDescent="0.25">
      <c r="B52" s="6"/>
    </row>
    <row r="53" spans="2:2" x14ac:dyDescent="0.25">
      <c r="B53" s="6"/>
    </row>
    <row r="54" spans="2:2" x14ac:dyDescent="0.25">
      <c r="B54" s="6"/>
    </row>
    <row r="55" spans="2:2" x14ac:dyDescent="0.25">
      <c r="B55" s="6"/>
    </row>
  </sheetData>
  <mergeCells count="2">
    <mergeCell ref="B36:B38"/>
    <mergeCell ref="B7:B33"/>
  </mergeCells>
  <pageMargins left="0.7" right="0.7" top="0.75" bottom="0.75" header="0.3" footer="0.3"/>
  <pageSetup scale="8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A1:AM52"/>
  <sheetViews>
    <sheetView showGridLines="0" zoomScaleNormal="100" workbookViewId="0">
      <selection activeCell="J34" sqref="J34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39.1406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2.140625" style="7" customWidth="1"/>
    <col min="10" max="10" width="14.5703125" customWidth="1"/>
    <col min="11" max="11" width="10.140625" customWidth="1"/>
    <col min="13" max="13" width="14.5703125" bestFit="1" customWidth="1"/>
  </cols>
  <sheetData>
    <row r="1" spans="1:39" x14ac:dyDescent="0.25">
      <c r="A1" s="261"/>
      <c r="B1" s="261"/>
      <c r="C1" s="54"/>
      <c r="D1" s="94"/>
      <c r="E1" s="54"/>
      <c r="F1" s="54"/>
      <c r="G1" s="54"/>
      <c r="H1" s="54"/>
      <c r="I1" s="261"/>
      <c r="J1" s="261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</row>
    <row r="2" spans="1:39" ht="23.25" x14ac:dyDescent="0.35">
      <c r="A2" s="54"/>
      <c r="B2" s="95" t="s">
        <v>120</v>
      </c>
      <c r="C2" s="54"/>
      <c r="D2" s="94"/>
      <c r="E2" s="54"/>
      <c r="F2" s="54"/>
      <c r="G2" s="54"/>
      <c r="H2" s="54"/>
      <c r="I2" s="261"/>
      <c r="J2" s="261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</row>
    <row r="3" spans="1:39" x14ac:dyDescent="0.25">
      <c r="A3" s="54"/>
      <c r="B3" s="43" t="s">
        <v>39</v>
      </c>
      <c r="C3" s="54"/>
      <c r="D3" s="94"/>
      <c r="E3" s="54"/>
      <c r="F3" s="54"/>
      <c r="G3" s="54"/>
      <c r="H3" s="54"/>
      <c r="I3" s="261"/>
      <c r="J3" s="261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</row>
    <row r="4" spans="1:39" x14ac:dyDescent="0.25">
      <c r="A4" s="261"/>
      <c r="B4" s="261"/>
      <c r="C4" s="54"/>
      <c r="D4" s="94"/>
      <c r="E4" s="54"/>
      <c r="F4" s="54"/>
      <c r="G4" s="54"/>
      <c r="H4" s="54"/>
      <c r="I4" s="262"/>
      <c r="J4" s="262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</row>
    <row r="5" spans="1:39" ht="18.75" x14ac:dyDescent="0.3">
      <c r="A5" s="54"/>
      <c r="B5" s="96" t="s">
        <v>2</v>
      </c>
      <c r="C5" s="97"/>
      <c r="D5" s="97"/>
      <c r="E5" s="97"/>
      <c r="F5" s="97"/>
      <c r="G5" s="97"/>
      <c r="H5" s="97"/>
      <c r="I5" s="97"/>
      <c r="J5" s="98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</row>
    <row r="6" spans="1:39" x14ac:dyDescent="0.25">
      <c r="A6" s="54"/>
      <c r="B6" s="99" t="s">
        <v>3</v>
      </c>
      <c r="C6" s="99" t="s">
        <v>4</v>
      </c>
      <c r="D6" s="99" t="s">
        <v>5</v>
      </c>
      <c r="E6" s="100" t="s">
        <v>6</v>
      </c>
      <c r="F6" s="100" t="s">
        <v>7</v>
      </c>
      <c r="G6" s="100" t="s">
        <v>8</v>
      </c>
      <c r="H6" s="101" t="s">
        <v>9</v>
      </c>
      <c r="I6" s="102"/>
      <c r="J6" s="103" t="s">
        <v>10</v>
      </c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</row>
    <row r="7" spans="1:39" s="5" customFormat="1" x14ac:dyDescent="0.25">
      <c r="A7" s="43"/>
      <c r="B7" s="270" t="s">
        <v>11</v>
      </c>
      <c r="C7" s="48" t="s">
        <v>40</v>
      </c>
      <c r="D7" s="52"/>
      <c r="E7" s="52"/>
      <c r="F7" s="52"/>
      <c r="G7" s="52"/>
      <c r="H7" s="52"/>
      <c r="I7" s="54"/>
      <c r="J7" s="68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</row>
    <row r="8" spans="1:39" x14ac:dyDescent="0.25">
      <c r="A8" s="54"/>
      <c r="B8" s="271"/>
      <c r="C8" s="49"/>
      <c r="D8" s="64"/>
      <c r="E8" s="64"/>
      <c r="F8" s="64"/>
      <c r="G8" s="64"/>
      <c r="H8" s="64"/>
      <c r="I8" s="43"/>
      <c r="J8" s="6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</row>
    <row r="9" spans="1:39" x14ac:dyDescent="0.25">
      <c r="A9" s="54"/>
      <c r="B9" s="271"/>
      <c r="C9" s="50" t="s">
        <v>43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43"/>
      <c r="J9" s="67">
        <v>0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</row>
    <row r="10" spans="1:39" x14ac:dyDescent="0.25">
      <c r="A10" s="54"/>
      <c r="B10" s="271"/>
      <c r="C10" s="51" t="s">
        <v>44</v>
      </c>
      <c r="D10" s="53"/>
      <c r="E10" s="53"/>
      <c r="F10" s="53"/>
      <c r="G10" s="53"/>
      <c r="H10" s="53"/>
      <c r="I10" s="43"/>
      <c r="J10" s="12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</row>
    <row r="11" spans="1:39" x14ac:dyDescent="0.25">
      <c r="A11" s="54"/>
      <c r="B11" s="271"/>
      <c r="C11" s="52"/>
      <c r="D11" s="53"/>
      <c r="E11" s="53"/>
      <c r="F11" s="53"/>
      <c r="G11" s="53"/>
      <c r="H11" s="53"/>
      <c r="I11" s="43"/>
      <c r="J11" s="64">
        <v>0</v>
      </c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</row>
    <row r="12" spans="1:39" x14ac:dyDescent="0.25">
      <c r="A12" s="54"/>
      <c r="B12" s="271"/>
      <c r="C12" s="50" t="s">
        <v>13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43"/>
      <c r="J12" s="67">
        <v>0</v>
      </c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</row>
    <row r="13" spans="1:39" x14ac:dyDescent="0.25">
      <c r="A13" s="54"/>
      <c r="B13" s="271"/>
      <c r="C13" s="51" t="s">
        <v>46</v>
      </c>
      <c r="D13" s="53"/>
      <c r="E13" s="53"/>
      <c r="F13" s="53"/>
      <c r="G13" s="53"/>
      <c r="H13" s="53"/>
      <c r="I13" s="43"/>
      <c r="J13" s="12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</row>
    <row r="14" spans="1:39" x14ac:dyDescent="0.25">
      <c r="A14" s="54"/>
      <c r="B14" s="271"/>
      <c r="C14" s="47"/>
      <c r="D14" s="53"/>
      <c r="E14" s="53"/>
      <c r="F14" s="53"/>
      <c r="G14" s="53"/>
      <c r="H14" s="53"/>
      <c r="I14" s="43"/>
      <c r="J14" s="64">
        <v>0</v>
      </c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</row>
    <row r="15" spans="1:39" x14ac:dyDescent="0.25">
      <c r="A15" s="54"/>
      <c r="B15" s="271"/>
      <c r="C15" s="50" t="s">
        <v>14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43"/>
      <c r="J15" s="67">
        <v>0</v>
      </c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</row>
    <row r="16" spans="1:39" x14ac:dyDescent="0.25">
      <c r="A16" s="54"/>
      <c r="B16" s="271"/>
      <c r="C16" s="51" t="s">
        <v>52</v>
      </c>
      <c r="D16" s="53"/>
      <c r="E16" s="53"/>
      <c r="F16" s="53"/>
      <c r="G16" s="53"/>
      <c r="H16" s="53"/>
      <c r="I16" s="43"/>
      <c r="J16" s="53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</row>
    <row r="17" spans="1:39" x14ac:dyDescent="0.25">
      <c r="A17" s="54"/>
      <c r="B17" s="271"/>
      <c r="C17" s="53" t="s">
        <v>66</v>
      </c>
      <c r="D17" s="53"/>
      <c r="E17" s="53"/>
      <c r="F17" s="53"/>
      <c r="G17" s="53"/>
      <c r="H17" s="53"/>
      <c r="I17" s="43"/>
      <c r="J17" s="64">
        <v>0</v>
      </c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</row>
    <row r="18" spans="1:39" x14ac:dyDescent="0.25">
      <c r="A18" s="54"/>
      <c r="B18" s="271"/>
      <c r="C18" s="50" t="s">
        <v>15</v>
      </c>
      <c r="D18" s="69">
        <v>0</v>
      </c>
      <c r="E18" s="69">
        <v>0</v>
      </c>
      <c r="F18" s="69">
        <v>0</v>
      </c>
      <c r="G18" s="69">
        <v>0</v>
      </c>
      <c r="H18" s="69">
        <v>0</v>
      </c>
      <c r="I18" s="43"/>
      <c r="J18" s="67">
        <v>0</v>
      </c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</row>
    <row r="19" spans="1:39" x14ac:dyDescent="0.25">
      <c r="A19" s="54"/>
      <c r="B19" s="271"/>
      <c r="C19" s="51" t="s">
        <v>53</v>
      </c>
      <c r="D19" s="53"/>
      <c r="E19" s="53"/>
      <c r="F19" s="53"/>
      <c r="G19" s="53"/>
      <c r="H19" s="53"/>
      <c r="I19" s="43"/>
      <c r="J19" s="53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</row>
    <row r="20" spans="1:39" x14ac:dyDescent="0.25">
      <c r="A20" s="54"/>
      <c r="B20" s="271"/>
      <c r="C20" s="47"/>
      <c r="D20" s="53"/>
      <c r="E20" s="53"/>
      <c r="F20" s="53"/>
      <c r="G20" s="53"/>
      <c r="H20" s="53"/>
      <c r="I20" s="43"/>
      <c r="J20" s="64">
        <v>0</v>
      </c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</row>
    <row r="21" spans="1:39" x14ac:dyDescent="0.25">
      <c r="A21" s="54"/>
      <c r="B21" s="271"/>
      <c r="C21" s="50" t="s">
        <v>16</v>
      </c>
      <c r="D21" s="67">
        <v>0</v>
      </c>
      <c r="E21" s="67">
        <v>0</v>
      </c>
      <c r="F21" s="67">
        <v>0</v>
      </c>
      <c r="G21" s="67">
        <v>0</v>
      </c>
      <c r="H21" s="67">
        <v>0</v>
      </c>
      <c r="I21" s="43"/>
      <c r="J21" s="67">
        <v>0</v>
      </c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</row>
    <row r="22" spans="1:39" x14ac:dyDescent="0.25">
      <c r="A22" s="54"/>
      <c r="B22" s="271"/>
      <c r="C22" s="51" t="s">
        <v>54</v>
      </c>
      <c r="D22" s="53"/>
      <c r="E22" s="53"/>
      <c r="F22" s="53"/>
      <c r="G22" s="53"/>
      <c r="H22" s="53"/>
      <c r="I22" s="43"/>
      <c r="J22" s="53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</row>
    <row r="23" spans="1:39" x14ac:dyDescent="0.25">
      <c r="A23" s="54"/>
      <c r="B23" s="271"/>
      <c r="C23" s="217"/>
      <c r="D23" s="223"/>
      <c r="E23" s="224"/>
      <c r="F23" s="217"/>
      <c r="G23" s="217"/>
      <c r="H23" s="224"/>
      <c r="J23" s="217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</row>
    <row r="24" spans="1:39" x14ac:dyDescent="0.25">
      <c r="A24" s="54"/>
      <c r="B24" s="271"/>
      <c r="C24" s="50" t="s">
        <v>17</v>
      </c>
      <c r="D24" s="67">
        <f>D23</f>
        <v>0</v>
      </c>
      <c r="E24" s="67">
        <f t="shared" ref="E24:H24" si="0">E23</f>
        <v>0</v>
      </c>
      <c r="F24" s="67">
        <f t="shared" si="0"/>
        <v>0</v>
      </c>
      <c r="G24" s="67">
        <f t="shared" si="0"/>
        <v>0</v>
      </c>
      <c r="H24" s="67">
        <f t="shared" si="0"/>
        <v>0</v>
      </c>
      <c r="I24" s="82"/>
      <c r="J24" s="67">
        <f>J23</f>
        <v>0</v>
      </c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</row>
    <row r="25" spans="1:39" x14ac:dyDescent="0.25">
      <c r="A25" s="54"/>
      <c r="B25" s="271"/>
      <c r="C25" s="51" t="s">
        <v>56</v>
      </c>
      <c r="D25" s="53"/>
      <c r="E25" s="52"/>
      <c r="F25" s="52"/>
      <c r="G25" s="52"/>
      <c r="H25" s="52"/>
      <c r="I25" s="54"/>
      <c r="J25" s="53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</row>
    <row r="26" spans="1:39" ht="75" x14ac:dyDescent="0.25">
      <c r="A26" s="54"/>
      <c r="B26" s="271"/>
      <c r="C26" s="71" t="s">
        <v>128</v>
      </c>
      <c r="D26" s="64">
        <v>3902039</v>
      </c>
      <c r="E26" s="64">
        <v>5352236</v>
      </c>
      <c r="F26" s="64">
        <v>6365141</v>
      </c>
      <c r="G26" s="64">
        <v>8948787</v>
      </c>
      <c r="H26" s="64">
        <v>11431199</v>
      </c>
      <c r="I26" s="43"/>
      <c r="J26" s="64">
        <f>SUM(D26:H26)</f>
        <v>35999402</v>
      </c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</row>
    <row r="27" spans="1:39" x14ac:dyDescent="0.25">
      <c r="A27" s="54"/>
      <c r="B27" s="272"/>
      <c r="C27" s="50" t="s">
        <v>57</v>
      </c>
      <c r="D27" s="67">
        <f>D26</f>
        <v>3902039</v>
      </c>
      <c r="E27" s="67">
        <f t="shared" ref="E27:H27" si="1">E26</f>
        <v>5352236</v>
      </c>
      <c r="F27" s="67">
        <f t="shared" si="1"/>
        <v>6365141</v>
      </c>
      <c r="G27" s="67">
        <f t="shared" si="1"/>
        <v>8948787</v>
      </c>
      <c r="H27" s="67">
        <f t="shared" si="1"/>
        <v>11431199</v>
      </c>
      <c r="I27" s="82"/>
      <c r="J27" s="67">
        <f>J26</f>
        <v>35999402</v>
      </c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</row>
    <row r="28" spans="1:39" x14ac:dyDescent="0.25">
      <c r="A28" s="54"/>
      <c r="B28" s="48"/>
      <c r="C28" s="50" t="s">
        <v>19</v>
      </c>
      <c r="D28" s="67">
        <f t="shared" ref="D28:G28" si="2">SUM(D9+D12+D15+D18+D21+D24+D27)</f>
        <v>3902039</v>
      </c>
      <c r="E28" s="67">
        <f t="shared" si="2"/>
        <v>5352236</v>
      </c>
      <c r="F28" s="67">
        <f t="shared" si="2"/>
        <v>6365141</v>
      </c>
      <c r="G28" s="67">
        <f t="shared" si="2"/>
        <v>8948787</v>
      </c>
      <c r="H28" s="67">
        <f>SUM(H9+H12+H15+H18+H21+H24+H27)</f>
        <v>11431199</v>
      </c>
      <c r="I28" s="82"/>
      <c r="J28" s="67">
        <f t="shared" ref="J28" si="3">SUM(J9+J12+J15+J18+J21+J24+J27)</f>
        <v>35999402</v>
      </c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</row>
    <row r="29" spans="1:39" x14ac:dyDescent="0.25">
      <c r="A29" s="261"/>
      <c r="B29" s="261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</row>
    <row r="30" spans="1:39" ht="29.1" customHeight="1" x14ac:dyDescent="0.25">
      <c r="A30" s="54"/>
      <c r="B30" s="267" t="s">
        <v>58</v>
      </c>
      <c r="C30" s="55" t="s">
        <v>58</v>
      </c>
      <c r="D30" s="68"/>
      <c r="E30" s="68"/>
      <c r="F30" s="68"/>
      <c r="G30" s="68"/>
      <c r="H30" s="68"/>
      <c r="I30" s="54"/>
      <c r="J30" s="68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</row>
    <row r="31" spans="1:39" x14ac:dyDescent="0.25">
      <c r="A31" s="54"/>
      <c r="B31" s="268"/>
      <c r="C31" s="47"/>
      <c r="D31" s="53"/>
      <c r="E31" s="52"/>
      <c r="F31" s="52"/>
      <c r="G31" s="52"/>
      <c r="H31" s="52"/>
      <c r="I31" s="54"/>
      <c r="J31" s="64">
        <v>0</v>
      </c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</row>
    <row r="32" spans="1:39" x14ac:dyDescent="0.25">
      <c r="A32" s="54"/>
      <c r="B32" s="269"/>
      <c r="C32" s="50" t="s">
        <v>21</v>
      </c>
      <c r="D32" s="67">
        <v>0</v>
      </c>
      <c r="E32" s="67">
        <v>0</v>
      </c>
      <c r="F32" s="67">
        <v>0</v>
      </c>
      <c r="G32" s="67">
        <v>0</v>
      </c>
      <c r="H32" s="67">
        <v>0</v>
      </c>
      <c r="I32" s="54"/>
      <c r="J32" s="67">
        <v>0</v>
      </c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</row>
    <row r="33" spans="1:39" ht="15.75" thickBot="1" x14ac:dyDescent="0.3">
      <c r="A33" s="261"/>
      <c r="B33" s="261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</row>
    <row r="34" spans="1:39" ht="30.75" thickBot="1" x14ac:dyDescent="0.3">
      <c r="A34" s="108"/>
      <c r="B34" s="56" t="s">
        <v>22</v>
      </c>
      <c r="C34" s="56"/>
      <c r="D34" s="70">
        <v>3902039</v>
      </c>
      <c r="E34" s="70">
        <v>5352236</v>
      </c>
      <c r="F34" s="70">
        <v>6365141</v>
      </c>
      <c r="G34" s="70">
        <v>8948787</v>
      </c>
      <c r="H34" s="91">
        <v>11431199</v>
      </c>
      <c r="I34" s="54"/>
      <c r="J34" s="92">
        <v>35999402</v>
      </c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8"/>
      <c r="AC34" s="108"/>
      <c r="AD34" s="108"/>
      <c r="AE34" s="108"/>
      <c r="AF34" s="108"/>
      <c r="AG34" s="108"/>
      <c r="AH34" s="108"/>
      <c r="AI34" s="108"/>
      <c r="AJ34" s="108"/>
      <c r="AK34" s="108"/>
      <c r="AL34" s="108"/>
      <c r="AM34" s="108"/>
    </row>
    <row r="35" spans="1:39" x14ac:dyDescent="0.25">
      <c r="A35" s="261"/>
      <c r="B35" s="261"/>
      <c r="C35" s="54"/>
      <c r="D35" s="94"/>
      <c r="E35" s="54"/>
      <c r="F35" s="54"/>
      <c r="G35" s="54"/>
      <c r="H35" s="54"/>
      <c r="I35" s="261"/>
      <c r="J35" s="261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</row>
    <row r="36" spans="1:39" x14ac:dyDescent="0.25">
      <c r="A36" s="261"/>
      <c r="B36" s="261"/>
      <c r="C36" s="54"/>
      <c r="D36" s="83"/>
      <c r="E36" s="83"/>
      <c r="F36" s="83"/>
      <c r="G36" s="83"/>
      <c r="H36" s="83"/>
      <c r="I36" s="261"/>
      <c r="J36" s="261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</row>
    <row r="37" spans="1:39" s="1" customFormat="1" x14ac:dyDescent="0.25">
      <c r="A37" s="261"/>
      <c r="B37" s="261"/>
      <c r="C37" s="54"/>
      <c r="D37" s="94"/>
      <c r="E37" s="54"/>
      <c r="F37" s="54"/>
      <c r="G37" s="54"/>
      <c r="H37" s="54"/>
      <c r="I37" s="261"/>
      <c r="J37" s="261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</row>
    <row r="38" spans="1:39" x14ac:dyDescent="0.25">
      <c r="A38" s="261"/>
      <c r="B38" s="261"/>
      <c r="C38" s="54"/>
      <c r="D38" s="94"/>
      <c r="E38" s="54"/>
      <c r="F38" s="54"/>
      <c r="G38" s="54"/>
      <c r="H38" s="54"/>
      <c r="I38" s="261"/>
      <c r="J38" s="261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</row>
    <row r="39" spans="1:39" x14ac:dyDescent="0.25">
      <c r="A39" s="261"/>
      <c r="B39" s="261"/>
      <c r="C39" s="54"/>
      <c r="D39" s="94"/>
      <c r="E39" s="54"/>
      <c r="F39" s="54"/>
      <c r="G39" s="54"/>
      <c r="H39" s="54"/>
      <c r="I39" s="261"/>
      <c r="J39" s="261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</row>
    <row r="40" spans="1:39" x14ac:dyDescent="0.25">
      <c r="A40" s="261"/>
      <c r="B40" s="261"/>
      <c r="C40" s="54"/>
      <c r="D40" s="94"/>
      <c r="E40" s="54"/>
      <c r="F40" s="54"/>
      <c r="G40" s="54"/>
      <c r="H40" s="54"/>
      <c r="I40" s="261"/>
      <c r="J40" s="261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</row>
    <row r="41" spans="1:39" x14ac:dyDescent="0.25">
      <c r="A41" s="261"/>
      <c r="B41" s="261"/>
      <c r="C41" s="54"/>
      <c r="D41" s="94"/>
      <c r="E41" s="54"/>
      <c r="F41" s="54"/>
      <c r="G41" s="54"/>
      <c r="H41" s="54"/>
      <c r="I41" s="261"/>
      <c r="J41" s="261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</row>
    <row r="42" spans="1:39" x14ac:dyDescent="0.25">
      <c r="A42" s="261"/>
      <c r="B42" s="261"/>
      <c r="C42" s="54"/>
      <c r="D42" s="94"/>
      <c r="E42" s="54"/>
      <c r="F42" s="54"/>
      <c r="G42" s="54"/>
      <c r="H42" s="54"/>
      <c r="I42" s="261"/>
      <c r="J42" s="261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</row>
    <row r="43" spans="1:39" x14ac:dyDescent="0.25">
      <c r="A43" s="261"/>
      <c r="B43" s="261"/>
      <c r="C43" s="54"/>
      <c r="D43" s="94"/>
      <c r="E43" s="54"/>
      <c r="F43" s="54"/>
      <c r="G43" s="54"/>
      <c r="H43" s="54"/>
      <c r="I43" s="261"/>
      <c r="J43" s="261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</row>
    <row r="44" spans="1:39" x14ac:dyDescent="0.25">
      <c r="A44" s="261"/>
      <c r="B44" s="261"/>
      <c r="C44" s="54"/>
      <c r="D44" s="94"/>
      <c r="E44" s="54"/>
      <c r="F44" s="54"/>
      <c r="G44" s="54"/>
      <c r="H44" s="54"/>
      <c r="I44" s="261"/>
      <c r="J44" s="261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</row>
    <row r="45" spans="1:39" x14ac:dyDescent="0.25">
      <c r="A45" s="261"/>
      <c r="B45" s="261"/>
      <c r="C45" s="54"/>
      <c r="D45" s="94"/>
      <c r="E45" s="54"/>
      <c r="F45" s="54"/>
      <c r="G45" s="54"/>
      <c r="H45" s="54"/>
      <c r="I45" s="261"/>
      <c r="J45" s="261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</row>
    <row r="46" spans="1:39" x14ac:dyDescent="0.25">
      <c r="A46" s="261"/>
      <c r="B46" s="261"/>
      <c r="C46" s="54"/>
      <c r="D46" s="94"/>
      <c r="E46" s="54"/>
      <c r="F46" s="54"/>
      <c r="G46" s="54"/>
      <c r="H46" s="54"/>
      <c r="I46" s="261"/>
      <c r="J46" s="261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</row>
    <row r="47" spans="1:39" x14ac:dyDescent="0.25">
      <c r="A47" s="261"/>
      <c r="B47" s="261"/>
      <c r="C47" s="54"/>
      <c r="D47" s="94"/>
      <c r="E47" s="54"/>
      <c r="F47" s="54"/>
      <c r="G47" s="54"/>
      <c r="H47" s="54"/>
      <c r="I47" s="261"/>
      <c r="J47" s="261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</row>
    <row r="48" spans="1:39" x14ac:dyDescent="0.25">
      <c r="A48" s="261"/>
      <c r="B48" s="261"/>
      <c r="C48" s="54"/>
      <c r="D48" s="94"/>
      <c r="E48" s="54"/>
      <c r="F48" s="54"/>
      <c r="G48" s="54"/>
      <c r="H48" s="54"/>
      <c r="I48" s="261"/>
      <c r="J48" s="261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</row>
    <row r="49" spans="1:39" x14ac:dyDescent="0.25">
      <c r="A49" s="261"/>
      <c r="B49" s="261"/>
      <c r="C49" s="54"/>
      <c r="D49" s="94"/>
      <c r="E49" s="54"/>
      <c r="F49" s="54"/>
      <c r="G49" s="54"/>
      <c r="H49" s="54"/>
      <c r="I49" s="261"/>
      <c r="J49" s="261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</row>
    <row r="50" spans="1:39" x14ac:dyDescent="0.25">
      <c r="B50" s="6"/>
    </row>
    <row r="51" spans="1:39" x14ac:dyDescent="0.25">
      <c r="B51" s="6"/>
    </row>
    <row r="52" spans="1:39" x14ac:dyDescent="0.25">
      <c r="B52" s="6"/>
    </row>
  </sheetData>
  <mergeCells count="40">
    <mergeCell ref="A49:B49"/>
    <mergeCell ref="I49:J49"/>
    <mergeCell ref="A46:B46"/>
    <mergeCell ref="I46:J46"/>
    <mergeCell ref="A47:B47"/>
    <mergeCell ref="I47:J47"/>
    <mergeCell ref="A48:B48"/>
    <mergeCell ref="I48:J48"/>
    <mergeCell ref="A43:B43"/>
    <mergeCell ref="I43:J43"/>
    <mergeCell ref="A44:B44"/>
    <mergeCell ref="I44:J44"/>
    <mergeCell ref="A45:B45"/>
    <mergeCell ref="I45:J45"/>
    <mergeCell ref="A40:B40"/>
    <mergeCell ref="I40:J40"/>
    <mergeCell ref="A41:B41"/>
    <mergeCell ref="I41:J41"/>
    <mergeCell ref="A42:B42"/>
    <mergeCell ref="I42:J42"/>
    <mergeCell ref="A37:B37"/>
    <mergeCell ref="I37:J37"/>
    <mergeCell ref="A38:B38"/>
    <mergeCell ref="I38:J38"/>
    <mergeCell ref="A39:B39"/>
    <mergeCell ref="I39:J39"/>
    <mergeCell ref="A33:B33"/>
    <mergeCell ref="A35:B35"/>
    <mergeCell ref="I35:J35"/>
    <mergeCell ref="A36:B36"/>
    <mergeCell ref="I36:J36"/>
    <mergeCell ref="B30:B32"/>
    <mergeCell ref="A1:B1"/>
    <mergeCell ref="I1:J1"/>
    <mergeCell ref="I2:J2"/>
    <mergeCell ref="I3:J3"/>
    <mergeCell ref="A4:B4"/>
    <mergeCell ref="I4:J4"/>
    <mergeCell ref="A29:B29"/>
    <mergeCell ref="B7:B27"/>
  </mergeCells>
  <pageMargins left="0.7" right="0.7" top="0.75" bottom="0.75" header="0.3" footer="0.3"/>
  <pageSetup scale="8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6f2d9b7-3122-4fa2-9c6a-801252b48ae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6de1488e-9635-4f90-964d-d2fc542075ab">
      <Terms xmlns="http://schemas.microsoft.com/office/infopath/2007/PartnerControls"/>
    </lcf76f155ced4ddcb4097134ff3c332f>
    <TaxCatchAll xmlns="a6f2d9b7-3122-4fa2-9c6a-801252b48ae7" xsi:nil="true"/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D3731E6EE1A740815B6CEA6EB80DD8" ma:contentTypeVersion="15" ma:contentTypeDescription="Create a new document." ma:contentTypeScope="" ma:versionID="66fc9f07a82f6d6012ccb6dbc08e619b">
  <xsd:schema xmlns:xsd="http://www.w3.org/2001/XMLSchema" xmlns:xs="http://www.w3.org/2001/XMLSchema" xmlns:p="http://schemas.microsoft.com/office/2006/metadata/properties" xmlns:ns2="6de1488e-9635-4f90-964d-d2fc542075ab" xmlns:ns3="a6f2d9b7-3122-4fa2-9c6a-801252b48ae7" targetNamespace="http://schemas.microsoft.com/office/2006/metadata/properties" ma:root="true" ma:fieldsID="417a286e111bf4691503d67657c17e34" ns2:_="" ns3:_="">
    <xsd:import namespace="6de1488e-9635-4f90-964d-d2fc542075ab"/>
    <xsd:import namespace="a6f2d9b7-3122-4fa2-9c6a-801252b48a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e1488e-9635-4f90-964d-d2fc542075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cdd0a8f6-c2df-45ea-93d6-61234a1c0f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f2d9b7-3122-4fa2-9c6a-801252b48a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38cd9e76-2fd2-4a59-abe1-8aba0590fe8a}" ma:internalName="TaxCatchAll" ma:showField="CatchAllData" ma:web="a6f2d9b7-3122-4fa2-9c6a-801252b48a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222176-22B4-47AB-AB9E-BB248AC3A7F3}">
  <ds:schemaRefs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a6f2d9b7-3122-4fa2-9c6a-801252b48ae7"/>
    <ds:schemaRef ds:uri="http://purl.org/dc/dcmitype/"/>
    <ds:schemaRef ds:uri="http://purl.org/dc/terms/"/>
    <ds:schemaRef ds:uri="6de1488e-9635-4f90-964d-d2fc542075ab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2D6F1D0-DD99-4A38-B370-4C8BDF7EE9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e1488e-9635-4f90-964d-d2fc542075ab"/>
    <ds:schemaRef ds:uri="a6f2d9b7-3122-4fa2-9c6a-801252b48a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Grant Management</vt:lpstr>
      <vt:lpstr>Measure 1 Budget</vt:lpstr>
      <vt:lpstr>Measure 2 Budget</vt:lpstr>
      <vt:lpstr>Measure 3 Budget</vt:lpstr>
      <vt:lpstr>Measure 4 Budget</vt:lpstr>
      <vt:lpstr>Measure 5 Budget</vt:lpstr>
      <vt:lpstr>Measure 6 Budget</vt:lpstr>
      <vt:lpstr>Measure 7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2024-03-30T01:58:09Z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0x0101003CD3731E6EE1A740815B6CEA6EB80DD8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